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BPC\Dropbox\nsw2015\"/>
    </mc:Choice>
  </mc:AlternateContent>
  <bookViews>
    <workbookView xWindow="0" yWindow="0" windowWidth="28800" windowHeight="12435"/>
  </bookViews>
  <sheets>
    <sheet name="database" sheetId="1" r:id="rId1"/>
    <sheet name="output" sheetId="4" r:id="rId2"/>
    <sheet name="bias" sheetId="2" r:id="rId3"/>
    <sheet name="seats" sheetId="3" r:id="rId4"/>
    <sheet name="regcalc" sheetId="5" r:id="rId5"/>
    <sheet name="prefs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2" i="5" l="1"/>
  <c r="U112" i="5"/>
  <c r="T112" i="5"/>
  <c r="V110" i="5"/>
  <c r="U110" i="5"/>
  <c r="T110" i="5"/>
  <c r="P110" i="5"/>
  <c r="K110" i="5"/>
  <c r="B110" i="5"/>
  <c r="AA62" i="1"/>
  <c r="Z62" i="1"/>
  <c r="Y62" i="1"/>
  <c r="W60" i="1"/>
  <c r="X60" i="1" s="1"/>
  <c r="X62" i="1" s="1"/>
  <c r="AI62" i="2"/>
  <c r="AH62" i="2"/>
  <c r="AG62" i="2"/>
  <c r="AE62" i="2"/>
  <c r="AD62" i="2"/>
  <c r="AC62" i="2"/>
  <c r="AA62" i="2"/>
  <c r="Z62" i="2"/>
  <c r="Y62" i="2"/>
  <c r="W62" i="2"/>
  <c r="V62" i="2"/>
  <c r="U62" i="2"/>
  <c r="S62" i="2"/>
  <c r="R62" i="2"/>
  <c r="Q62" i="2"/>
  <c r="AE60" i="2"/>
  <c r="AD60" i="2"/>
  <c r="AC60" i="2"/>
  <c r="W59" i="2"/>
  <c r="V59" i="2"/>
  <c r="U59" i="2"/>
  <c r="W56" i="2"/>
  <c r="V56" i="2"/>
  <c r="U56" i="2"/>
  <c r="K60" i="2"/>
  <c r="J60" i="2"/>
  <c r="I60" i="2"/>
  <c r="H60" i="2"/>
  <c r="G60" i="2"/>
  <c r="F60" i="2"/>
  <c r="E60" i="2"/>
  <c r="D60" i="2"/>
  <c r="C60" i="2"/>
  <c r="B60" i="2"/>
  <c r="A60" i="2"/>
  <c r="K59" i="2"/>
  <c r="J59" i="2"/>
  <c r="I59" i="2"/>
  <c r="H59" i="2"/>
  <c r="G59" i="2"/>
  <c r="F59" i="2"/>
  <c r="E59" i="2"/>
  <c r="D59" i="2"/>
  <c r="C59" i="2"/>
  <c r="B59" i="2"/>
  <c r="A59" i="2"/>
  <c r="F59" i="1"/>
  <c r="G59" i="1"/>
  <c r="K59" i="1"/>
  <c r="E59" i="1"/>
  <c r="P59" i="1"/>
  <c r="D59" i="1"/>
  <c r="O59" i="1"/>
  <c r="F60" i="1"/>
  <c r="G60" i="1"/>
  <c r="K60" i="1"/>
  <c r="E60" i="1"/>
  <c r="P60" i="1"/>
  <c r="D60" i="1"/>
  <c r="O60" i="1"/>
  <c r="K58" i="2"/>
  <c r="J58" i="2"/>
  <c r="I58" i="2"/>
  <c r="H58" i="2"/>
  <c r="G58" i="2"/>
  <c r="F58" i="2"/>
  <c r="E58" i="2"/>
  <c r="D58" i="2"/>
  <c r="C58" i="2"/>
  <c r="B58" i="2"/>
  <c r="A58" i="2"/>
  <c r="O58" i="2" s="1"/>
  <c r="F58" i="1"/>
  <c r="G58" i="1"/>
  <c r="K58" i="1"/>
  <c r="U58" i="1"/>
  <c r="T58" i="1"/>
  <c r="S58" i="1"/>
  <c r="E58" i="1"/>
  <c r="P58" i="1"/>
  <c r="D58" i="1"/>
  <c r="O58" i="1"/>
  <c r="W62" i="1" l="1"/>
  <c r="C10" i="4" s="1"/>
  <c r="M58" i="2"/>
  <c r="N58" i="2"/>
  <c r="Q58" i="1"/>
  <c r="R58" i="1" s="1"/>
  <c r="W57" i="1" l="1"/>
  <c r="X57" i="1" s="1"/>
  <c r="K57" i="2"/>
  <c r="J57" i="2"/>
  <c r="I57" i="2"/>
  <c r="H57" i="2"/>
  <c r="G57" i="2"/>
  <c r="F57" i="2"/>
  <c r="E57" i="2"/>
  <c r="D57" i="2"/>
  <c r="C57" i="2"/>
  <c r="B57" i="2"/>
  <c r="A57" i="2"/>
  <c r="O57" i="2" s="1"/>
  <c r="F57" i="1"/>
  <c r="G57" i="1" s="1"/>
  <c r="K57" i="1"/>
  <c r="U57" i="1"/>
  <c r="T57" i="1"/>
  <c r="S57" i="1"/>
  <c r="E57" i="1"/>
  <c r="P57" i="1"/>
  <c r="D57" i="1"/>
  <c r="O57" i="1"/>
  <c r="P114" i="5"/>
  <c r="K114" i="5"/>
  <c r="P112" i="5"/>
  <c r="K112" i="5"/>
  <c r="P108" i="5"/>
  <c r="P106" i="5"/>
  <c r="K108" i="5"/>
  <c r="K106" i="5"/>
  <c r="M57" i="2" l="1"/>
  <c r="N57" i="2"/>
  <c r="Q57" i="1"/>
  <c r="R57" i="1" s="1"/>
  <c r="B108" i="5"/>
  <c r="B106" i="5"/>
  <c r="B104" i="5"/>
  <c r="B102" i="5"/>
  <c r="V108" i="5"/>
  <c r="U108" i="5"/>
  <c r="T108" i="5"/>
  <c r="W56" i="1"/>
  <c r="X56" i="1" s="1"/>
  <c r="W55" i="1"/>
  <c r="X55" i="1" s="1"/>
  <c r="W54" i="1"/>
  <c r="X54" i="1" s="1"/>
  <c r="W53" i="1"/>
  <c r="X53" i="1" s="1"/>
  <c r="W52" i="1"/>
  <c r="X52" i="1" s="1"/>
  <c r="U53" i="1" l="1"/>
  <c r="T53" i="1"/>
  <c r="S53" i="1"/>
  <c r="U50" i="1"/>
  <c r="T50" i="1"/>
  <c r="S50" i="1"/>
  <c r="U47" i="1"/>
  <c r="T47" i="1"/>
  <c r="S47" i="1"/>
  <c r="U46" i="1"/>
  <c r="T46" i="1"/>
  <c r="S46" i="1"/>
  <c r="U45" i="1"/>
  <c r="T45" i="1"/>
  <c r="S45" i="1"/>
  <c r="U42" i="1"/>
  <c r="T42" i="1"/>
  <c r="S42" i="1"/>
  <c r="U40" i="1"/>
  <c r="T40" i="1"/>
  <c r="S40" i="1"/>
  <c r="U39" i="1"/>
  <c r="T39" i="1"/>
  <c r="S39" i="1"/>
  <c r="U36" i="1"/>
  <c r="T36" i="1"/>
  <c r="S36" i="1"/>
  <c r="U33" i="1"/>
  <c r="T33" i="1"/>
  <c r="S33" i="1"/>
  <c r="U30" i="1"/>
  <c r="T30" i="1"/>
  <c r="S30" i="1"/>
  <c r="U28" i="1"/>
  <c r="T28" i="1"/>
  <c r="S28" i="1"/>
  <c r="U27" i="1"/>
  <c r="T27" i="1"/>
  <c r="S27" i="1"/>
  <c r="U26" i="1"/>
  <c r="T26" i="1"/>
  <c r="S26" i="1"/>
  <c r="U21" i="1"/>
  <c r="T21" i="1"/>
  <c r="S21" i="1"/>
  <c r="U17" i="1"/>
  <c r="T17" i="1"/>
  <c r="S17" i="1"/>
  <c r="U16" i="1"/>
  <c r="T16" i="1"/>
  <c r="S16" i="1"/>
  <c r="U15" i="1"/>
  <c r="T15" i="1"/>
  <c r="S15" i="1"/>
  <c r="U14" i="1"/>
  <c r="T14" i="1"/>
  <c r="S14" i="1"/>
  <c r="U12" i="1"/>
  <c r="T12" i="1"/>
  <c r="S12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U4" i="1"/>
  <c r="T4" i="1"/>
  <c r="S4" i="1"/>
  <c r="U3" i="1"/>
  <c r="T3" i="1"/>
  <c r="S3" i="1"/>
  <c r="K56" i="2"/>
  <c r="J56" i="2"/>
  <c r="I56" i="2"/>
  <c r="H56" i="2"/>
  <c r="G56" i="2"/>
  <c r="F56" i="2"/>
  <c r="E56" i="2"/>
  <c r="D56" i="2"/>
  <c r="C56" i="2"/>
  <c r="B56" i="2"/>
  <c r="AI56" i="2" s="1"/>
  <c r="A56" i="2"/>
  <c r="K55" i="2"/>
  <c r="J55" i="2"/>
  <c r="I55" i="2"/>
  <c r="H55" i="2"/>
  <c r="G55" i="2"/>
  <c r="F55" i="2"/>
  <c r="E55" i="2"/>
  <c r="D55" i="2"/>
  <c r="C55" i="2"/>
  <c r="B55" i="2"/>
  <c r="A55" i="2"/>
  <c r="K54" i="2"/>
  <c r="J54" i="2"/>
  <c r="I54" i="2"/>
  <c r="H54" i="2"/>
  <c r="G54" i="2"/>
  <c r="F54" i="2"/>
  <c r="E54" i="2"/>
  <c r="D54" i="2"/>
  <c r="C54" i="2"/>
  <c r="B54" i="2"/>
  <c r="AH54" i="2" s="1"/>
  <c r="A54" i="2"/>
  <c r="K53" i="2"/>
  <c r="J53" i="2"/>
  <c r="I53" i="2"/>
  <c r="H53" i="2"/>
  <c r="G53" i="2"/>
  <c r="F53" i="2"/>
  <c r="E53" i="2"/>
  <c r="D53" i="2"/>
  <c r="C53" i="2"/>
  <c r="B53" i="2"/>
  <c r="Y53" i="2" s="1"/>
  <c r="A53" i="2"/>
  <c r="K52" i="2"/>
  <c r="J52" i="2"/>
  <c r="I52" i="2"/>
  <c r="H52" i="2"/>
  <c r="G52" i="2"/>
  <c r="F52" i="2"/>
  <c r="E52" i="2"/>
  <c r="D52" i="2"/>
  <c r="C52" i="2"/>
  <c r="B52" i="2"/>
  <c r="AA52" i="2" s="1"/>
  <c r="A52" i="2"/>
  <c r="K51" i="2"/>
  <c r="J51" i="2"/>
  <c r="I51" i="2"/>
  <c r="H51" i="2"/>
  <c r="G51" i="2"/>
  <c r="F51" i="2"/>
  <c r="E51" i="2"/>
  <c r="D51" i="2"/>
  <c r="C51" i="2"/>
  <c r="B51" i="2"/>
  <c r="Z51" i="2" s="1"/>
  <c r="A51" i="2"/>
  <c r="K50" i="2"/>
  <c r="J50" i="2"/>
  <c r="I50" i="2"/>
  <c r="H50" i="2"/>
  <c r="G50" i="2"/>
  <c r="F50" i="2"/>
  <c r="E50" i="2"/>
  <c r="D50" i="2"/>
  <c r="C50" i="2"/>
  <c r="B50" i="2"/>
  <c r="AI50" i="2" s="1"/>
  <c r="A50" i="2"/>
  <c r="K49" i="2"/>
  <c r="J49" i="2"/>
  <c r="I49" i="2"/>
  <c r="H49" i="2"/>
  <c r="G49" i="2"/>
  <c r="F49" i="2"/>
  <c r="E49" i="2"/>
  <c r="D49" i="2"/>
  <c r="C49" i="2"/>
  <c r="B49" i="2"/>
  <c r="U49" i="2" s="1"/>
  <c r="A49" i="2"/>
  <c r="K48" i="2"/>
  <c r="J48" i="2"/>
  <c r="I48" i="2"/>
  <c r="H48" i="2"/>
  <c r="G48" i="2"/>
  <c r="F48" i="2"/>
  <c r="E48" i="2"/>
  <c r="D48" i="2"/>
  <c r="C48" i="2"/>
  <c r="B48" i="2"/>
  <c r="AG48" i="2" s="1"/>
  <c r="A48" i="2"/>
  <c r="K47" i="2"/>
  <c r="J47" i="2"/>
  <c r="I47" i="2"/>
  <c r="H47" i="2"/>
  <c r="G47" i="2"/>
  <c r="F47" i="2"/>
  <c r="E47" i="2"/>
  <c r="D47" i="2"/>
  <c r="C47" i="2"/>
  <c r="B47" i="2"/>
  <c r="A47" i="2"/>
  <c r="K46" i="2"/>
  <c r="J46" i="2"/>
  <c r="I46" i="2"/>
  <c r="H46" i="2"/>
  <c r="G46" i="2"/>
  <c r="F46" i="2"/>
  <c r="E46" i="2"/>
  <c r="D46" i="2"/>
  <c r="C46" i="2"/>
  <c r="B46" i="2"/>
  <c r="A46" i="2"/>
  <c r="K45" i="2"/>
  <c r="J45" i="2"/>
  <c r="I45" i="2"/>
  <c r="H45" i="2"/>
  <c r="G45" i="2"/>
  <c r="F45" i="2"/>
  <c r="E45" i="2"/>
  <c r="D45" i="2"/>
  <c r="C45" i="2"/>
  <c r="B45" i="2"/>
  <c r="U45" i="2" s="1"/>
  <c r="A45" i="2"/>
  <c r="K44" i="2"/>
  <c r="J44" i="2"/>
  <c r="I44" i="2"/>
  <c r="H44" i="2"/>
  <c r="G44" i="2"/>
  <c r="F44" i="2"/>
  <c r="E44" i="2"/>
  <c r="D44" i="2"/>
  <c r="C44" i="2"/>
  <c r="B44" i="2"/>
  <c r="AI44" i="2" s="1"/>
  <c r="A44" i="2"/>
  <c r="F52" i="1"/>
  <c r="G52" i="1"/>
  <c r="K52" i="1"/>
  <c r="E52" i="1"/>
  <c r="P52" i="1"/>
  <c r="D52" i="1"/>
  <c r="O52" i="1"/>
  <c r="F55" i="1"/>
  <c r="G55" i="1"/>
  <c r="K55" i="1"/>
  <c r="D56" i="1"/>
  <c r="D55" i="1"/>
  <c r="E55" i="1" s="1"/>
  <c r="D54" i="1"/>
  <c r="D53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O55" i="1"/>
  <c r="M47" i="2" l="1"/>
  <c r="O47" i="2"/>
  <c r="N47" i="2"/>
  <c r="O46" i="2"/>
  <c r="N46" i="2"/>
  <c r="M46" i="2"/>
  <c r="N50" i="2"/>
  <c r="N51" i="2" s="1"/>
  <c r="V51" i="2" s="1"/>
  <c r="M50" i="2"/>
  <c r="O50" i="2"/>
  <c r="O45" i="2"/>
  <c r="N45" i="2"/>
  <c r="M45" i="2"/>
  <c r="O53" i="2"/>
  <c r="N53" i="2"/>
  <c r="M53" i="2"/>
  <c r="S45" i="2"/>
  <c r="AI45" i="2"/>
  <c r="AG44" i="2"/>
  <c r="AI49" i="2"/>
  <c r="S48" i="2"/>
  <c r="AH44" i="2"/>
  <c r="AI53" i="2"/>
  <c r="AG45" i="2"/>
  <c r="AG49" i="2"/>
  <c r="AG53" i="2"/>
  <c r="AG56" i="2"/>
  <c r="U53" i="2"/>
  <c r="AH45" i="2"/>
  <c r="AH49" i="2"/>
  <c r="AH53" i="2"/>
  <c r="AH56" i="2"/>
  <c r="Q47" i="2"/>
  <c r="AH47" i="2"/>
  <c r="Z47" i="2"/>
  <c r="S51" i="2"/>
  <c r="AH51" i="2"/>
  <c r="AA51" i="2"/>
  <c r="AG47" i="2"/>
  <c r="R46" i="2"/>
  <c r="AG46" i="2"/>
  <c r="S50" i="2"/>
  <c r="AG50" i="2"/>
  <c r="V54" i="2"/>
  <c r="AG54" i="2"/>
  <c r="AI47" i="2"/>
  <c r="AG51" i="2"/>
  <c r="AI54" i="2"/>
  <c r="AH46" i="2"/>
  <c r="AI51" i="2"/>
  <c r="V47" i="2"/>
  <c r="R48" i="2"/>
  <c r="AI48" i="2"/>
  <c r="U52" i="2"/>
  <c r="AI46" i="2"/>
  <c r="AH48" i="2"/>
  <c r="AH50" i="2"/>
  <c r="Q49" i="2"/>
  <c r="S49" i="2"/>
  <c r="S53" i="2"/>
  <c r="R50" i="2"/>
  <c r="AA45" i="2"/>
  <c r="AE53" i="2"/>
  <c r="AC50" i="2"/>
  <c r="AA49" i="2"/>
  <c r="AD46" i="2"/>
  <c r="Z45" i="2"/>
  <c r="AD53" i="2"/>
  <c r="S52" i="2"/>
  <c r="W50" i="2"/>
  <c r="Z49" i="2"/>
  <c r="W46" i="2"/>
  <c r="Q45" i="2"/>
  <c r="Y52" i="2"/>
  <c r="R52" i="2"/>
  <c r="AD52" i="2"/>
  <c r="W52" i="2"/>
  <c r="Q52" i="2"/>
  <c r="Q51" i="2"/>
  <c r="W48" i="2"/>
  <c r="AE47" i="2"/>
  <c r="U47" i="2"/>
  <c r="S47" i="2"/>
  <c r="Z48" i="2"/>
  <c r="Q48" i="2"/>
  <c r="AC52" i="2"/>
  <c r="V52" i="2"/>
  <c r="AE51" i="2"/>
  <c r="U48" i="2"/>
  <c r="AA47" i="2"/>
  <c r="W54" i="2"/>
  <c r="AA50" i="2"/>
  <c r="V50" i="2"/>
  <c r="AC46" i="2"/>
  <c r="U46" i="2"/>
  <c r="Q46" i="2"/>
  <c r="U54" i="2"/>
  <c r="Z53" i="2"/>
  <c r="R53" i="2"/>
  <c r="AE50" i="2"/>
  <c r="Z50" i="2"/>
  <c r="U50" i="2"/>
  <c r="Q50" i="2"/>
  <c r="V49" i="2"/>
  <c r="Z46" i="2"/>
  <c r="S46" i="2"/>
  <c r="V45" i="2"/>
  <c r="AE52" i="2"/>
  <c r="Z52" i="2"/>
  <c r="AD50" i="2"/>
  <c r="Y50" i="2"/>
  <c r="Y48" i="2"/>
  <c r="AE46" i="2"/>
  <c r="Y46" i="2"/>
  <c r="AE45" i="2"/>
  <c r="AA53" i="2"/>
  <c r="V53" i="2"/>
  <c r="Q53" i="2"/>
  <c r="AC51" i="2"/>
  <c r="R51" i="2"/>
  <c r="W49" i="2"/>
  <c r="R49" i="2"/>
  <c r="AC47" i="2"/>
  <c r="W47" i="2"/>
  <c r="R47" i="2"/>
  <c r="AC45" i="2"/>
  <c r="W45" i="2"/>
  <c r="R45" i="2"/>
  <c r="AC53" i="2"/>
  <c r="W53" i="2"/>
  <c r="AD51" i="2"/>
  <c r="Y51" i="2"/>
  <c r="Y49" i="2"/>
  <c r="AA48" i="2"/>
  <c r="V48" i="2"/>
  <c r="AD47" i="2"/>
  <c r="Y47" i="2"/>
  <c r="AA46" i="2"/>
  <c r="V46" i="2"/>
  <c r="AD45" i="2"/>
  <c r="Y45" i="2"/>
  <c r="P55" i="1"/>
  <c r="H19" i="4"/>
  <c r="H18" i="4"/>
  <c r="F56" i="1"/>
  <c r="K56" i="1"/>
  <c r="E56" i="1"/>
  <c r="P56" i="1"/>
  <c r="O56" i="1"/>
  <c r="M51" i="2" l="1"/>
  <c r="U51" i="2" s="1"/>
  <c r="M52" i="2"/>
  <c r="M54" i="2"/>
  <c r="M55" i="2"/>
  <c r="AG55" i="2" s="1"/>
  <c r="M56" i="2"/>
  <c r="N52" i="2"/>
  <c r="N49" i="2"/>
  <c r="AD49" i="2" s="1"/>
  <c r="N48" i="2"/>
  <c r="AD48" i="2" s="1"/>
  <c r="N54" i="2"/>
  <c r="N56" i="2"/>
  <c r="N55" i="2"/>
  <c r="AH55" i="2" s="1"/>
  <c r="O48" i="2"/>
  <c r="AE48" i="2" s="1"/>
  <c r="O49" i="2"/>
  <c r="O55" i="2"/>
  <c r="AI55" i="2" s="1"/>
  <c r="O56" i="2"/>
  <c r="O54" i="2"/>
  <c r="O52" i="2"/>
  <c r="M48" i="2"/>
  <c r="AC48" i="2" s="1"/>
  <c r="M49" i="2"/>
  <c r="AC49" i="2" s="1"/>
  <c r="O51" i="2"/>
  <c r="W51" i="2" s="1"/>
  <c r="AE49" i="2"/>
  <c r="G56" i="1"/>
  <c r="V106" i="5"/>
  <c r="U106" i="5"/>
  <c r="T106" i="5"/>
  <c r="F54" i="1"/>
  <c r="K54" i="1"/>
  <c r="G54" i="1" l="1"/>
  <c r="O54" i="1"/>
  <c r="W51" i="1"/>
  <c r="X51" i="1" s="1"/>
  <c r="W50" i="1"/>
  <c r="X50" i="1" s="1"/>
  <c r="W49" i="1"/>
  <c r="X49" i="1" s="1"/>
  <c r="W48" i="1"/>
  <c r="X48" i="1" s="1"/>
  <c r="W47" i="1"/>
  <c r="X47" i="1" s="1"/>
  <c r="W46" i="1"/>
  <c r="X46" i="1" s="1"/>
  <c r="W45" i="1"/>
  <c r="X45" i="1" s="1"/>
  <c r="W44" i="1"/>
  <c r="X44" i="1" s="1"/>
  <c r="W43" i="1"/>
  <c r="X43" i="1" s="1"/>
  <c r="W42" i="1"/>
  <c r="X42" i="1" s="1"/>
  <c r="W41" i="1"/>
  <c r="X41" i="1" s="1"/>
  <c r="W40" i="1"/>
  <c r="X40" i="1" s="1"/>
  <c r="W39" i="1"/>
  <c r="X39" i="1" s="1"/>
  <c r="W38" i="1"/>
  <c r="X38" i="1" s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V100" i="5"/>
  <c r="U100" i="5"/>
  <c r="T100" i="5"/>
  <c r="P54" i="1" l="1"/>
  <c r="E54" i="1"/>
  <c r="V104" i="5"/>
  <c r="U104" i="5"/>
  <c r="T104" i="5"/>
  <c r="V102" i="5"/>
  <c r="U102" i="5"/>
  <c r="T102" i="5"/>
  <c r="K104" i="5"/>
  <c r="P104" i="5"/>
  <c r="O119" i="5"/>
  <c r="N119" i="5"/>
  <c r="M119" i="5"/>
  <c r="J119" i="5"/>
  <c r="I119" i="5"/>
  <c r="H119" i="5"/>
  <c r="K119" i="5" l="1"/>
  <c r="P119" i="5"/>
  <c r="J43" i="2"/>
  <c r="I43" i="2"/>
  <c r="H43" i="2"/>
  <c r="C43" i="2"/>
  <c r="B43" i="2"/>
  <c r="A43" i="2"/>
  <c r="J42" i="2"/>
  <c r="I42" i="2"/>
  <c r="H42" i="2"/>
  <c r="C42" i="2"/>
  <c r="B42" i="2"/>
  <c r="A42" i="2"/>
  <c r="J41" i="2"/>
  <c r="I41" i="2"/>
  <c r="H41" i="2"/>
  <c r="C41" i="2"/>
  <c r="B41" i="2"/>
  <c r="A41" i="2"/>
  <c r="J40" i="2"/>
  <c r="I40" i="2"/>
  <c r="H40" i="2"/>
  <c r="C40" i="2"/>
  <c r="B40" i="2"/>
  <c r="A40" i="2"/>
  <c r="J39" i="2"/>
  <c r="I39" i="2"/>
  <c r="H39" i="2"/>
  <c r="C39" i="2"/>
  <c r="B39" i="2"/>
  <c r="A39" i="2"/>
  <c r="J38" i="2"/>
  <c r="I38" i="2"/>
  <c r="H38" i="2"/>
  <c r="C38" i="2"/>
  <c r="B38" i="2"/>
  <c r="A38" i="2"/>
  <c r="J37" i="2"/>
  <c r="I37" i="2"/>
  <c r="H37" i="2"/>
  <c r="C37" i="2"/>
  <c r="B37" i="2"/>
  <c r="A37" i="2"/>
  <c r="J36" i="2"/>
  <c r="I36" i="2"/>
  <c r="H36" i="2"/>
  <c r="C36" i="2"/>
  <c r="B36" i="2"/>
  <c r="A36" i="2"/>
  <c r="J35" i="2"/>
  <c r="I35" i="2"/>
  <c r="H35" i="2"/>
  <c r="C35" i="2"/>
  <c r="B35" i="2"/>
  <c r="A35" i="2"/>
  <c r="J34" i="2"/>
  <c r="I34" i="2"/>
  <c r="H34" i="2"/>
  <c r="C34" i="2"/>
  <c r="B34" i="2"/>
  <c r="A34" i="2"/>
  <c r="J33" i="2"/>
  <c r="I33" i="2"/>
  <c r="H33" i="2"/>
  <c r="C33" i="2"/>
  <c r="B33" i="2"/>
  <c r="A33" i="2"/>
  <c r="J32" i="2"/>
  <c r="I32" i="2"/>
  <c r="H32" i="2"/>
  <c r="C32" i="2"/>
  <c r="B32" i="2"/>
  <c r="A32" i="2"/>
  <c r="J31" i="2"/>
  <c r="I31" i="2"/>
  <c r="H31" i="2"/>
  <c r="C31" i="2"/>
  <c r="B31" i="2"/>
  <c r="A31" i="2"/>
  <c r="J30" i="2"/>
  <c r="I30" i="2"/>
  <c r="H30" i="2"/>
  <c r="C30" i="2"/>
  <c r="B30" i="2"/>
  <c r="A30" i="2"/>
  <c r="J29" i="2"/>
  <c r="I29" i="2"/>
  <c r="H29" i="2"/>
  <c r="C29" i="2"/>
  <c r="B29" i="2"/>
  <c r="A29" i="2"/>
  <c r="J28" i="2"/>
  <c r="I28" i="2"/>
  <c r="H28" i="2"/>
  <c r="C28" i="2"/>
  <c r="B28" i="2"/>
  <c r="A28" i="2"/>
  <c r="J27" i="2"/>
  <c r="I27" i="2"/>
  <c r="H27" i="2"/>
  <c r="B27" i="2"/>
  <c r="A27" i="2"/>
  <c r="J26" i="2"/>
  <c r="I26" i="2"/>
  <c r="H26" i="2"/>
  <c r="C26" i="2"/>
  <c r="B26" i="2"/>
  <c r="A26" i="2"/>
  <c r="J25" i="2"/>
  <c r="I25" i="2"/>
  <c r="H25" i="2"/>
  <c r="C25" i="2"/>
  <c r="B25" i="2"/>
  <c r="A25" i="2"/>
  <c r="J24" i="2"/>
  <c r="I24" i="2"/>
  <c r="H24" i="2"/>
  <c r="C24" i="2"/>
  <c r="B24" i="2"/>
  <c r="A24" i="2"/>
  <c r="J23" i="2"/>
  <c r="I23" i="2"/>
  <c r="H23" i="2"/>
  <c r="C23" i="2"/>
  <c r="B23" i="2"/>
  <c r="A23" i="2"/>
  <c r="J22" i="2"/>
  <c r="I22" i="2"/>
  <c r="H22" i="2"/>
  <c r="C22" i="2"/>
  <c r="B22" i="2"/>
  <c r="A22" i="2"/>
  <c r="J21" i="2"/>
  <c r="I21" i="2"/>
  <c r="H21" i="2"/>
  <c r="C21" i="2"/>
  <c r="B21" i="2"/>
  <c r="A21" i="2"/>
  <c r="J20" i="2"/>
  <c r="I20" i="2"/>
  <c r="H20" i="2"/>
  <c r="C20" i="2"/>
  <c r="B20" i="2"/>
  <c r="A20" i="2"/>
  <c r="J19" i="2"/>
  <c r="I19" i="2"/>
  <c r="H19" i="2"/>
  <c r="C19" i="2"/>
  <c r="B19" i="2"/>
  <c r="A19" i="2"/>
  <c r="J18" i="2"/>
  <c r="I18" i="2"/>
  <c r="H18" i="2"/>
  <c r="C18" i="2"/>
  <c r="B18" i="2"/>
  <c r="A18" i="2"/>
  <c r="J17" i="2"/>
  <c r="I17" i="2"/>
  <c r="H17" i="2"/>
  <c r="C17" i="2"/>
  <c r="B17" i="2"/>
  <c r="A17" i="2"/>
  <c r="J16" i="2"/>
  <c r="I16" i="2"/>
  <c r="H16" i="2"/>
  <c r="C16" i="2"/>
  <c r="B16" i="2"/>
  <c r="A16" i="2"/>
  <c r="J15" i="2"/>
  <c r="I15" i="2"/>
  <c r="H15" i="2"/>
  <c r="C15" i="2"/>
  <c r="B15" i="2"/>
  <c r="A15" i="2"/>
  <c r="J14" i="2"/>
  <c r="I14" i="2"/>
  <c r="H14" i="2"/>
  <c r="C14" i="2"/>
  <c r="B14" i="2"/>
  <c r="A14" i="2"/>
  <c r="J13" i="2"/>
  <c r="I13" i="2"/>
  <c r="H13" i="2"/>
  <c r="C13" i="2"/>
  <c r="B13" i="2"/>
  <c r="A13" i="2"/>
  <c r="J12" i="2"/>
  <c r="I12" i="2"/>
  <c r="H12" i="2"/>
  <c r="C12" i="2"/>
  <c r="B12" i="2"/>
  <c r="A12" i="2"/>
  <c r="J11" i="2"/>
  <c r="I11" i="2"/>
  <c r="H11" i="2"/>
  <c r="C11" i="2"/>
  <c r="B11" i="2"/>
  <c r="A11" i="2"/>
  <c r="J10" i="2"/>
  <c r="I10" i="2"/>
  <c r="H10" i="2"/>
  <c r="C10" i="2"/>
  <c r="B10" i="2"/>
  <c r="A10" i="2"/>
  <c r="J9" i="2"/>
  <c r="I9" i="2"/>
  <c r="H9" i="2"/>
  <c r="C9" i="2"/>
  <c r="B9" i="2"/>
  <c r="A9" i="2"/>
  <c r="J8" i="2"/>
  <c r="I8" i="2"/>
  <c r="H8" i="2"/>
  <c r="C8" i="2"/>
  <c r="B8" i="2"/>
  <c r="A8" i="2"/>
  <c r="J7" i="2"/>
  <c r="I7" i="2"/>
  <c r="H7" i="2"/>
  <c r="C7" i="2"/>
  <c r="B7" i="2"/>
  <c r="A7" i="2"/>
  <c r="J6" i="2"/>
  <c r="I6" i="2"/>
  <c r="H6" i="2"/>
  <c r="C6" i="2"/>
  <c r="B6" i="2"/>
  <c r="A6" i="2"/>
  <c r="J5" i="2"/>
  <c r="I5" i="2"/>
  <c r="H5" i="2"/>
  <c r="C5" i="2"/>
  <c r="B5" i="2"/>
  <c r="A5" i="2"/>
  <c r="J4" i="2"/>
  <c r="I4" i="2"/>
  <c r="H4" i="2"/>
  <c r="C4" i="2"/>
  <c r="B4" i="2"/>
  <c r="A4" i="2"/>
  <c r="J3" i="2"/>
  <c r="I3" i="2"/>
  <c r="H3" i="2"/>
  <c r="C3" i="2"/>
  <c r="B3" i="2"/>
  <c r="A3" i="2"/>
  <c r="O53" i="1"/>
  <c r="O51" i="1"/>
  <c r="F53" i="1"/>
  <c r="G53" i="1"/>
  <c r="K53" i="1"/>
  <c r="E53" i="1"/>
  <c r="O33" i="2" l="1"/>
  <c r="N33" i="2"/>
  <c r="M33" i="2"/>
  <c r="M39" i="2"/>
  <c r="O39" i="2"/>
  <c r="N39" i="2"/>
  <c r="N3" i="2"/>
  <c r="M3" i="2"/>
  <c r="O3" i="2"/>
  <c r="O5" i="2"/>
  <c r="N5" i="2"/>
  <c r="M5" i="2"/>
  <c r="N7" i="2"/>
  <c r="M7" i="2"/>
  <c r="O7" i="2"/>
  <c r="O9" i="2"/>
  <c r="N9" i="2"/>
  <c r="M9" i="2"/>
  <c r="O15" i="2"/>
  <c r="N15" i="2"/>
  <c r="M15" i="2"/>
  <c r="N17" i="2"/>
  <c r="M17" i="2"/>
  <c r="O17" i="2"/>
  <c r="O21" i="2"/>
  <c r="N21" i="2"/>
  <c r="M21" i="2"/>
  <c r="M27" i="2"/>
  <c r="O27" i="2"/>
  <c r="N27" i="2"/>
  <c r="N28" i="2"/>
  <c r="M28" i="2"/>
  <c r="O28" i="2"/>
  <c r="O30" i="2"/>
  <c r="N30" i="2"/>
  <c r="M30" i="2"/>
  <c r="N40" i="2"/>
  <c r="M40" i="2"/>
  <c r="O40" i="2"/>
  <c r="O4" i="2"/>
  <c r="N4" i="2"/>
  <c r="M4" i="2"/>
  <c r="M6" i="2"/>
  <c r="O6" i="2"/>
  <c r="N6" i="2"/>
  <c r="O8" i="2"/>
  <c r="N8" i="2"/>
  <c r="M8" i="2"/>
  <c r="M10" i="2"/>
  <c r="O10" i="2"/>
  <c r="N10" i="2"/>
  <c r="N12" i="2"/>
  <c r="M12" i="2"/>
  <c r="O12" i="2"/>
  <c r="O14" i="2"/>
  <c r="O13" i="2" s="1"/>
  <c r="S13" i="2" s="1"/>
  <c r="N14" i="2"/>
  <c r="M14" i="2"/>
  <c r="M16" i="2"/>
  <c r="O16" i="2"/>
  <c r="N16" i="2"/>
  <c r="O26" i="2"/>
  <c r="N26" i="2"/>
  <c r="M26" i="2"/>
  <c r="AI4" i="2"/>
  <c r="AG4" i="2"/>
  <c r="AH4" i="2"/>
  <c r="AG6" i="2"/>
  <c r="AI6" i="2"/>
  <c r="AH6" i="2"/>
  <c r="AI8" i="2"/>
  <c r="AH8" i="2"/>
  <c r="AG8" i="2"/>
  <c r="AG10" i="2"/>
  <c r="AI10" i="2"/>
  <c r="AH10" i="2"/>
  <c r="AI12" i="2"/>
  <c r="AH12" i="2"/>
  <c r="AG12" i="2"/>
  <c r="AA14" i="2"/>
  <c r="AG14" i="2"/>
  <c r="AI14" i="2"/>
  <c r="AH14" i="2"/>
  <c r="AI16" i="2"/>
  <c r="AH16" i="2"/>
  <c r="AG16" i="2"/>
  <c r="Z18" i="2"/>
  <c r="AG18" i="2"/>
  <c r="AH18" i="2"/>
  <c r="AI18" i="2"/>
  <c r="Y20" i="2"/>
  <c r="AI20" i="2"/>
  <c r="AG20" i="2"/>
  <c r="AH20" i="2"/>
  <c r="Z22" i="2"/>
  <c r="AG22" i="2"/>
  <c r="AI22" i="2"/>
  <c r="AH22" i="2"/>
  <c r="AI24" i="2"/>
  <c r="AH24" i="2"/>
  <c r="AG24" i="2"/>
  <c r="V26" i="2"/>
  <c r="AG26" i="2"/>
  <c r="AI26" i="2"/>
  <c r="AH26" i="2"/>
  <c r="Z29" i="2"/>
  <c r="AG29" i="2"/>
  <c r="AI29" i="2"/>
  <c r="AH29" i="2"/>
  <c r="AH31" i="2"/>
  <c r="AI31" i="2"/>
  <c r="AG31" i="2"/>
  <c r="AA33" i="2"/>
  <c r="AI33" i="2"/>
  <c r="AH33" i="2"/>
  <c r="AG33" i="2"/>
  <c r="AH35" i="2"/>
  <c r="AI35" i="2"/>
  <c r="AG35" i="2"/>
  <c r="W37" i="2"/>
  <c r="AI37" i="2"/>
  <c r="AH37" i="2"/>
  <c r="AG37" i="2"/>
  <c r="AH39" i="2"/>
  <c r="AI39" i="2"/>
  <c r="AG39" i="2"/>
  <c r="AE41" i="2"/>
  <c r="AH41" i="2"/>
  <c r="AG41" i="2"/>
  <c r="AI41" i="2"/>
  <c r="AH43" i="2"/>
  <c r="AG43" i="2"/>
  <c r="AI43" i="2"/>
  <c r="AH3" i="2"/>
  <c r="AI3" i="2"/>
  <c r="AG3" i="2"/>
  <c r="AI5" i="2"/>
  <c r="AH5" i="2"/>
  <c r="AG5" i="2"/>
  <c r="AH7" i="2"/>
  <c r="AI7" i="2"/>
  <c r="AG7" i="2"/>
  <c r="AH9" i="2"/>
  <c r="AG9" i="2"/>
  <c r="AI9" i="2"/>
  <c r="AH11" i="2"/>
  <c r="AG11" i="2"/>
  <c r="AI11" i="2"/>
  <c r="AC13" i="2"/>
  <c r="AG13" i="2"/>
  <c r="AI13" i="2"/>
  <c r="AH13" i="2"/>
  <c r="Q15" i="2"/>
  <c r="AH15" i="2"/>
  <c r="AI15" i="2"/>
  <c r="AG15" i="2"/>
  <c r="AC17" i="2"/>
  <c r="AI17" i="2"/>
  <c r="AH17" i="2"/>
  <c r="AG17" i="2"/>
  <c r="AH19" i="2"/>
  <c r="AI19" i="2"/>
  <c r="AG19" i="2"/>
  <c r="AC21" i="2"/>
  <c r="AI21" i="2"/>
  <c r="AH21" i="2"/>
  <c r="AG21" i="2"/>
  <c r="AH23" i="2"/>
  <c r="AI23" i="2"/>
  <c r="AG23" i="2"/>
  <c r="AD25" i="2"/>
  <c r="AH25" i="2"/>
  <c r="AG25" i="2"/>
  <c r="AI25" i="2"/>
  <c r="AH27" i="2"/>
  <c r="AG27" i="2"/>
  <c r="AI27" i="2"/>
  <c r="AI28" i="2"/>
  <c r="AH28" i="2"/>
  <c r="AG28" i="2"/>
  <c r="R30" i="2"/>
  <c r="AG30" i="2"/>
  <c r="AI30" i="2"/>
  <c r="AH30" i="2"/>
  <c r="AI32" i="2"/>
  <c r="AH32" i="2"/>
  <c r="AG32" i="2"/>
  <c r="Z34" i="2"/>
  <c r="AG34" i="2"/>
  <c r="AH34" i="2"/>
  <c r="AI34" i="2"/>
  <c r="AI36" i="2"/>
  <c r="AG36" i="2"/>
  <c r="AH36" i="2"/>
  <c r="AE38" i="2"/>
  <c r="AG38" i="2"/>
  <c r="AI38" i="2"/>
  <c r="AH38" i="2"/>
  <c r="AI40" i="2"/>
  <c r="AH40" i="2"/>
  <c r="AG40" i="2"/>
  <c r="V42" i="2"/>
  <c r="AG42" i="2"/>
  <c r="AI42" i="2"/>
  <c r="AH42" i="2"/>
  <c r="Q30" i="2"/>
  <c r="AE26" i="2"/>
  <c r="AD22" i="2"/>
  <c r="AE42" i="2"/>
  <c r="Q53" i="1"/>
  <c r="R53" i="1" s="1"/>
  <c r="Z14" i="2"/>
  <c r="AC38" i="2"/>
  <c r="AA13" i="2"/>
  <c r="V17" i="2"/>
  <c r="Q21" i="2"/>
  <c r="AE21" i="2"/>
  <c r="U33" i="2"/>
  <c r="AD13" i="2"/>
  <c r="AA17" i="2"/>
  <c r="U22" i="2"/>
  <c r="U25" i="2"/>
  <c r="U29" i="2"/>
  <c r="W30" i="2"/>
  <c r="W33" i="2"/>
  <c r="R37" i="2"/>
  <c r="R41" i="2"/>
  <c r="U13" i="2"/>
  <c r="U14" i="2"/>
  <c r="AD17" i="2"/>
  <c r="Y21" i="2"/>
  <c r="V22" i="2"/>
  <c r="Z25" i="2"/>
  <c r="AA29" i="2"/>
  <c r="Z30" i="2"/>
  <c r="AE33" i="2"/>
  <c r="AE37" i="2"/>
  <c r="Z41" i="2"/>
  <c r="Q37" i="2"/>
  <c r="AD14" i="2"/>
  <c r="S21" i="2"/>
  <c r="V13" i="2"/>
  <c r="V14" i="2"/>
  <c r="U17" i="2"/>
  <c r="Z21" i="2"/>
  <c r="AA22" i="2"/>
  <c r="AA25" i="2"/>
  <c r="AE29" i="2"/>
  <c r="AC30" i="2"/>
  <c r="R38" i="2"/>
  <c r="M11" i="2"/>
  <c r="Y15" i="2"/>
  <c r="S15" i="2"/>
  <c r="Z23" i="2"/>
  <c r="Y23" i="2"/>
  <c r="U31" i="2"/>
  <c r="AC31" i="2"/>
  <c r="AE39" i="2"/>
  <c r="W39" i="2"/>
  <c r="Z15" i="2"/>
  <c r="V39" i="2"/>
  <c r="AE12" i="2"/>
  <c r="Q12" i="2"/>
  <c r="AD12" i="2"/>
  <c r="AE20" i="2"/>
  <c r="AD20" i="2"/>
  <c r="AA28" i="2"/>
  <c r="U28" i="2"/>
  <c r="R28" i="2"/>
  <c r="Z36" i="2"/>
  <c r="V36" i="2"/>
  <c r="AA44" i="2"/>
  <c r="R44" i="2"/>
  <c r="V12" i="2"/>
  <c r="AE15" i="2"/>
  <c r="AE23" i="2"/>
  <c r="AC44" i="2"/>
  <c r="Y12" i="2"/>
  <c r="V20" i="2"/>
  <c r="AC28" i="2"/>
  <c r="AA31" i="2"/>
  <c r="Y13" i="2"/>
  <c r="AE13" i="2"/>
  <c r="Q17" i="2"/>
  <c r="Y17" i="2"/>
  <c r="AE17" i="2"/>
  <c r="U21" i="2"/>
  <c r="AA21" i="2"/>
  <c r="V25" i="2"/>
  <c r="AE25" i="2"/>
  <c r="W29" i="2"/>
  <c r="Q33" i="2"/>
  <c r="Z33" i="2"/>
  <c r="U37" i="2"/>
  <c r="AA41" i="2"/>
  <c r="Z13" i="2"/>
  <c r="S14" i="2"/>
  <c r="S17" i="2"/>
  <c r="Z17" i="2"/>
  <c r="V21" i="2"/>
  <c r="AD21" i="2"/>
  <c r="Y25" i="2"/>
  <c r="R33" i="2"/>
  <c r="Q41" i="2"/>
  <c r="AC16" i="2"/>
  <c r="W16" i="2"/>
  <c r="R16" i="2"/>
  <c r="AC19" i="2"/>
  <c r="W19" i="2"/>
  <c r="AC24" i="2"/>
  <c r="W24" i="2"/>
  <c r="AD27" i="2"/>
  <c r="Y27" i="2"/>
  <c r="S27" i="2"/>
  <c r="Z27" i="2"/>
  <c r="R27" i="2"/>
  <c r="AD32" i="2"/>
  <c r="Y32" i="2"/>
  <c r="S32" i="2"/>
  <c r="AE32" i="2"/>
  <c r="Q32" i="2"/>
  <c r="AD35" i="2"/>
  <c r="Y35" i="2"/>
  <c r="S35" i="2"/>
  <c r="Z35" i="2"/>
  <c r="R35" i="2"/>
  <c r="AD40" i="2"/>
  <c r="Y40" i="2"/>
  <c r="S40" i="2"/>
  <c r="AE40" i="2"/>
  <c r="W40" i="2"/>
  <c r="Q40" i="2"/>
  <c r="AD43" i="2"/>
  <c r="S43" i="2"/>
  <c r="R43" i="2"/>
  <c r="V16" i="2"/>
  <c r="AD16" i="2"/>
  <c r="Y19" i="2"/>
  <c r="AE19" i="2"/>
  <c r="V24" i="2"/>
  <c r="AD24" i="2"/>
  <c r="W27" i="2"/>
  <c r="AC32" i="2"/>
  <c r="AC35" i="2"/>
  <c r="Z40" i="2"/>
  <c r="W43" i="2"/>
  <c r="AC18" i="2"/>
  <c r="W18" i="2"/>
  <c r="AD26" i="2"/>
  <c r="Y26" i="2"/>
  <c r="S26" i="2"/>
  <c r="AA26" i="2"/>
  <c r="U26" i="2"/>
  <c r="AD34" i="2"/>
  <c r="Y34" i="2"/>
  <c r="AA34" i="2"/>
  <c r="U34" i="2"/>
  <c r="AD42" i="2"/>
  <c r="Y42" i="2"/>
  <c r="S42" i="2"/>
  <c r="AA42" i="2"/>
  <c r="U42" i="2"/>
  <c r="Q16" i="2"/>
  <c r="Y16" i="2"/>
  <c r="AE16" i="2"/>
  <c r="U18" i="2"/>
  <c r="AA18" i="2"/>
  <c r="Z19" i="2"/>
  <c r="Y24" i="2"/>
  <c r="AE24" i="2"/>
  <c r="W26" i="2"/>
  <c r="Q27" i="2"/>
  <c r="AA27" i="2"/>
  <c r="AC34" i="2"/>
  <c r="AE35" i="2"/>
  <c r="R40" i="2"/>
  <c r="AA40" i="2"/>
  <c r="W42" i="2"/>
  <c r="Q43" i="2"/>
  <c r="P53" i="1"/>
  <c r="AC12" i="2"/>
  <c r="W12" i="2"/>
  <c r="R12" i="2"/>
  <c r="AC15" i="2"/>
  <c r="W15" i="2"/>
  <c r="R15" i="2"/>
  <c r="AC20" i="2"/>
  <c r="W20" i="2"/>
  <c r="AC23" i="2"/>
  <c r="W23" i="2"/>
  <c r="AD28" i="2"/>
  <c r="Y28" i="2"/>
  <c r="S28" i="2"/>
  <c r="AE28" i="2"/>
  <c r="W28" i="2"/>
  <c r="Q28" i="2"/>
  <c r="AD31" i="2"/>
  <c r="Y31" i="2"/>
  <c r="Z31" i="2"/>
  <c r="AD36" i="2"/>
  <c r="Y36" i="2"/>
  <c r="S36" i="2"/>
  <c r="AE36" i="2"/>
  <c r="W36" i="2"/>
  <c r="Q36" i="2"/>
  <c r="AD39" i="2"/>
  <c r="Y39" i="2"/>
  <c r="S39" i="2"/>
  <c r="Z39" i="2"/>
  <c r="R39" i="2"/>
  <c r="AD44" i="2"/>
  <c r="Y44" i="2"/>
  <c r="S44" i="2"/>
  <c r="AE44" i="2"/>
  <c r="Q44" i="2"/>
  <c r="S12" i="2"/>
  <c r="Z12" i="2"/>
  <c r="U15" i="2"/>
  <c r="AA15" i="2"/>
  <c r="S16" i="2"/>
  <c r="Z16" i="2"/>
  <c r="V18" i="2"/>
  <c r="AD18" i="2"/>
  <c r="U19" i="2"/>
  <c r="AA19" i="2"/>
  <c r="Z20" i="2"/>
  <c r="U23" i="2"/>
  <c r="AA23" i="2"/>
  <c r="Z24" i="2"/>
  <c r="Q26" i="2"/>
  <c r="Z26" i="2"/>
  <c r="U27" i="2"/>
  <c r="AC27" i="2"/>
  <c r="V28" i="2"/>
  <c r="V31" i="2"/>
  <c r="AE31" i="2"/>
  <c r="Z32" i="2"/>
  <c r="V34" i="2"/>
  <c r="AE34" i="2"/>
  <c r="R36" i="2"/>
  <c r="AA36" i="2"/>
  <c r="Q39" i="2"/>
  <c r="AA39" i="2"/>
  <c r="U40" i="2"/>
  <c r="AC40" i="2"/>
  <c r="Q42" i="2"/>
  <c r="Z42" i="2"/>
  <c r="U43" i="2"/>
  <c r="AC43" i="2"/>
  <c r="AC14" i="2"/>
  <c r="W14" i="2"/>
  <c r="R14" i="2"/>
  <c r="AC22" i="2"/>
  <c r="W22" i="2"/>
  <c r="AD30" i="2"/>
  <c r="Y30" i="2"/>
  <c r="S30" i="2"/>
  <c r="AA30" i="2"/>
  <c r="U30" i="2"/>
  <c r="AD38" i="2"/>
  <c r="Y38" i="2"/>
  <c r="S38" i="2"/>
  <c r="AA38" i="2"/>
  <c r="U12" i="2"/>
  <c r="AA12" i="2"/>
  <c r="Q14" i="2"/>
  <c r="Y14" i="2"/>
  <c r="AE14" i="2"/>
  <c r="V15" i="2"/>
  <c r="AD15" i="2"/>
  <c r="U16" i="2"/>
  <c r="AA16" i="2"/>
  <c r="Y18" i="2"/>
  <c r="AE18" i="2"/>
  <c r="V19" i="2"/>
  <c r="AD19" i="2"/>
  <c r="U20" i="2"/>
  <c r="AA20" i="2"/>
  <c r="Y22" i="2"/>
  <c r="AE22" i="2"/>
  <c r="V23" i="2"/>
  <c r="AD23" i="2"/>
  <c r="U24" i="2"/>
  <c r="AA24" i="2"/>
  <c r="R26" i="2"/>
  <c r="AC26" i="2"/>
  <c r="V27" i="2"/>
  <c r="AE27" i="2"/>
  <c r="Z28" i="2"/>
  <c r="V30" i="2"/>
  <c r="AE30" i="2"/>
  <c r="W31" i="2"/>
  <c r="R32" i="2"/>
  <c r="AA32" i="2"/>
  <c r="W34" i="2"/>
  <c r="Q35" i="2"/>
  <c r="AA35" i="2"/>
  <c r="U36" i="2"/>
  <c r="AC36" i="2"/>
  <c r="Q38" i="2"/>
  <c r="Z38" i="2"/>
  <c r="U39" i="2"/>
  <c r="AC39" i="2"/>
  <c r="V40" i="2"/>
  <c r="R42" i="2"/>
  <c r="AC42" i="2"/>
  <c r="V43" i="2"/>
  <c r="AE43" i="2"/>
  <c r="Z44" i="2"/>
  <c r="AD29" i="2"/>
  <c r="Y29" i="2"/>
  <c r="AD33" i="2"/>
  <c r="Y33" i="2"/>
  <c r="S33" i="2"/>
  <c r="AD37" i="2"/>
  <c r="S37" i="2"/>
  <c r="AD41" i="2"/>
  <c r="Y41" i="2"/>
  <c r="S41" i="2"/>
  <c r="W13" i="2"/>
  <c r="R17" i="2"/>
  <c r="W17" i="2"/>
  <c r="R21" i="2"/>
  <c r="W21" i="2"/>
  <c r="W25" i="2"/>
  <c r="AC25" i="2"/>
  <c r="V29" i="2"/>
  <c r="AC29" i="2"/>
  <c r="V33" i="2"/>
  <c r="AC33" i="2"/>
  <c r="V37" i="2"/>
  <c r="AC37" i="2"/>
  <c r="AC41" i="2"/>
  <c r="F32" i="1"/>
  <c r="F32" i="2" s="1"/>
  <c r="K32" i="1"/>
  <c r="K32" i="2" s="1"/>
  <c r="D32" i="2"/>
  <c r="O32" i="1"/>
  <c r="F38" i="1"/>
  <c r="F38" i="2" s="1"/>
  <c r="G38" i="1"/>
  <c r="G38" i="2" s="1"/>
  <c r="K38" i="1"/>
  <c r="K38" i="2" s="1"/>
  <c r="D38" i="2"/>
  <c r="O38" i="1"/>
  <c r="F41" i="1"/>
  <c r="F41" i="2" s="1"/>
  <c r="K41" i="1"/>
  <c r="K41" i="2" s="1"/>
  <c r="D41" i="2"/>
  <c r="O41" i="1"/>
  <c r="O29" i="2" l="1"/>
  <c r="S29" i="2" s="1"/>
  <c r="M32" i="2"/>
  <c r="U32" i="2" s="1"/>
  <c r="M31" i="2"/>
  <c r="Q31" i="2" s="1"/>
  <c r="O20" i="2"/>
  <c r="O18" i="2"/>
  <c r="O19" i="2"/>
  <c r="O43" i="2"/>
  <c r="O41" i="2"/>
  <c r="O44" i="2"/>
  <c r="O42" i="2"/>
  <c r="N31" i="2"/>
  <c r="N32" i="2"/>
  <c r="V32" i="2" s="1"/>
  <c r="M23" i="2"/>
  <c r="M22" i="2"/>
  <c r="M25" i="2"/>
  <c r="M24" i="2"/>
  <c r="M19" i="2"/>
  <c r="M18" i="2"/>
  <c r="M20" i="2"/>
  <c r="M36" i="2"/>
  <c r="M35" i="2"/>
  <c r="M38" i="2"/>
  <c r="M34" i="2"/>
  <c r="Q34" i="2" s="1"/>
  <c r="M37" i="2"/>
  <c r="M43" i="2"/>
  <c r="M42" i="2"/>
  <c r="M41" i="2"/>
  <c r="M44" i="2"/>
  <c r="O31" i="2"/>
  <c r="O32" i="2"/>
  <c r="N24" i="2"/>
  <c r="N22" i="2"/>
  <c r="N25" i="2"/>
  <c r="N23" i="2"/>
  <c r="N19" i="2"/>
  <c r="N20" i="2"/>
  <c r="N18" i="2"/>
  <c r="R18" i="2" s="1"/>
  <c r="N38" i="2"/>
  <c r="N36" i="2"/>
  <c r="N34" i="2"/>
  <c r="N37" i="2"/>
  <c r="N35" i="2"/>
  <c r="N44" i="2"/>
  <c r="N42" i="2"/>
  <c r="N43" i="2"/>
  <c r="N41" i="2"/>
  <c r="O24" i="2"/>
  <c r="O22" i="2"/>
  <c r="S22" i="2" s="1"/>
  <c r="O25" i="2"/>
  <c r="O23" i="2"/>
  <c r="O38" i="2"/>
  <c r="O36" i="2"/>
  <c r="O34" i="2"/>
  <c r="O37" i="2"/>
  <c r="O35" i="2"/>
  <c r="N13" i="2"/>
  <c r="R13" i="2" s="1"/>
  <c r="G32" i="1"/>
  <c r="G32" i="2" s="1"/>
  <c r="M29" i="2"/>
  <c r="Q29" i="2" s="1"/>
  <c r="G41" i="1"/>
  <c r="G41" i="2" s="1"/>
  <c r="N11" i="2"/>
  <c r="Q23" i="2"/>
  <c r="E38" i="1"/>
  <c r="E38" i="2" s="1"/>
  <c r="O11" i="2"/>
  <c r="E32" i="1"/>
  <c r="E32" i="2" s="1"/>
  <c r="M13" i="2"/>
  <c r="Q13" i="2" s="1"/>
  <c r="P41" i="1"/>
  <c r="E41" i="1"/>
  <c r="E41" i="2" s="1"/>
  <c r="N29" i="2"/>
  <c r="R29" i="2" s="1"/>
  <c r="P38" i="1"/>
  <c r="P32" i="1"/>
  <c r="S18" i="2"/>
  <c r="F51" i="1"/>
  <c r="G51" i="1"/>
  <c r="K51" i="1"/>
  <c r="R31" i="2" l="1"/>
  <c r="Q22" i="2"/>
  <c r="AB62" i="1"/>
  <c r="X63" i="1" s="1"/>
  <c r="Q25" i="2"/>
  <c r="Q20" i="2"/>
  <c r="Q19" i="2"/>
  <c r="Q18" i="2"/>
  <c r="R34" i="2"/>
  <c r="R20" i="2"/>
  <c r="R19" i="2"/>
  <c r="R22" i="2"/>
  <c r="U35" i="2"/>
  <c r="W32" i="2"/>
  <c r="S31" i="2"/>
  <c r="P51" i="1"/>
  <c r="S34" i="2"/>
  <c r="S23" i="2"/>
  <c r="E51" i="1"/>
  <c r="S20" i="2"/>
  <c r="S19" i="2"/>
  <c r="C97" i="3"/>
  <c r="Z97" i="3"/>
  <c r="H3" i="5"/>
  <c r="I3" i="5"/>
  <c r="J3" i="5"/>
  <c r="K3" i="5"/>
  <c r="M3" i="5"/>
  <c r="N3" i="5"/>
  <c r="O3" i="5"/>
  <c r="P3" i="5"/>
  <c r="H4" i="5"/>
  <c r="I4" i="5"/>
  <c r="J4" i="5"/>
  <c r="K4" i="5"/>
  <c r="M4" i="5"/>
  <c r="N4" i="5"/>
  <c r="O4" i="5"/>
  <c r="P4" i="5"/>
  <c r="H5" i="5"/>
  <c r="I5" i="5"/>
  <c r="J5" i="5"/>
  <c r="K5" i="5"/>
  <c r="M5" i="5"/>
  <c r="N5" i="5"/>
  <c r="O5" i="5"/>
  <c r="P5" i="5"/>
  <c r="H6" i="5"/>
  <c r="I6" i="5"/>
  <c r="J6" i="5"/>
  <c r="K6" i="5"/>
  <c r="M6" i="5"/>
  <c r="N6" i="5"/>
  <c r="O6" i="5"/>
  <c r="P6" i="5"/>
  <c r="H7" i="5"/>
  <c r="I7" i="5"/>
  <c r="J7" i="5"/>
  <c r="K7" i="5"/>
  <c r="M7" i="5"/>
  <c r="N7" i="5"/>
  <c r="O7" i="5"/>
  <c r="P7" i="5"/>
  <c r="H8" i="5"/>
  <c r="I8" i="5"/>
  <c r="J8" i="5"/>
  <c r="K8" i="5"/>
  <c r="M8" i="5"/>
  <c r="N8" i="5"/>
  <c r="O8" i="5"/>
  <c r="P8" i="5"/>
  <c r="H9" i="5"/>
  <c r="I9" i="5"/>
  <c r="J9" i="5"/>
  <c r="K9" i="5"/>
  <c r="M9" i="5"/>
  <c r="N9" i="5"/>
  <c r="O9" i="5"/>
  <c r="P9" i="5"/>
  <c r="H10" i="5"/>
  <c r="I10" i="5"/>
  <c r="J10" i="5"/>
  <c r="K10" i="5"/>
  <c r="M10" i="5"/>
  <c r="N10" i="5"/>
  <c r="O10" i="5"/>
  <c r="P10" i="5"/>
  <c r="H11" i="5"/>
  <c r="I11" i="5"/>
  <c r="J11" i="5"/>
  <c r="K11" i="5"/>
  <c r="M11" i="5"/>
  <c r="N11" i="5"/>
  <c r="O11" i="5"/>
  <c r="P11" i="5"/>
  <c r="H12" i="5"/>
  <c r="I12" i="5"/>
  <c r="J12" i="5"/>
  <c r="K12" i="5"/>
  <c r="M12" i="5"/>
  <c r="N12" i="5"/>
  <c r="O12" i="5"/>
  <c r="P12" i="5"/>
  <c r="H13" i="5"/>
  <c r="I13" i="5"/>
  <c r="J13" i="5"/>
  <c r="K13" i="5"/>
  <c r="M13" i="5"/>
  <c r="N13" i="5"/>
  <c r="O13" i="5"/>
  <c r="P13" i="5"/>
  <c r="H14" i="5"/>
  <c r="I14" i="5"/>
  <c r="J14" i="5"/>
  <c r="K14" i="5"/>
  <c r="M14" i="5"/>
  <c r="N14" i="5"/>
  <c r="O14" i="5"/>
  <c r="P14" i="5"/>
  <c r="H15" i="5"/>
  <c r="I15" i="5"/>
  <c r="J15" i="5"/>
  <c r="K15" i="5"/>
  <c r="M15" i="5"/>
  <c r="N15" i="5"/>
  <c r="O15" i="5"/>
  <c r="P15" i="5"/>
  <c r="H16" i="5"/>
  <c r="I16" i="5"/>
  <c r="J16" i="5"/>
  <c r="K16" i="5"/>
  <c r="M16" i="5"/>
  <c r="N16" i="5"/>
  <c r="O16" i="5"/>
  <c r="P16" i="5"/>
  <c r="H17" i="5"/>
  <c r="I17" i="5"/>
  <c r="J17" i="5"/>
  <c r="K17" i="5"/>
  <c r="M17" i="5"/>
  <c r="N17" i="5"/>
  <c r="O17" i="5"/>
  <c r="P17" i="5"/>
  <c r="H18" i="5"/>
  <c r="I18" i="5"/>
  <c r="J18" i="5"/>
  <c r="K18" i="5"/>
  <c r="M18" i="5"/>
  <c r="N18" i="5"/>
  <c r="O18" i="5"/>
  <c r="P18" i="5"/>
  <c r="H19" i="5"/>
  <c r="I19" i="5"/>
  <c r="J19" i="5"/>
  <c r="K19" i="5"/>
  <c r="M19" i="5"/>
  <c r="N19" i="5"/>
  <c r="O19" i="5"/>
  <c r="P19" i="5"/>
  <c r="H20" i="5"/>
  <c r="I20" i="5"/>
  <c r="J20" i="5"/>
  <c r="K20" i="5"/>
  <c r="M20" i="5"/>
  <c r="N20" i="5"/>
  <c r="O20" i="5"/>
  <c r="P20" i="5"/>
  <c r="H21" i="5"/>
  <c r="I21" i="5"/>
  <c r="J21" i="5"/>
  <c r="K21" i="5"/>
  <c r="M21" i="5"/>
  <c r="N21" i="5"/>
  <c r="O21" i="5"/>
  <c r="P21" i="5"/>
  <c r="H22" i="5"/>
  <c r="I22" i="5"/>
  <c r="J22" i="5"/>
  <c r="K22" i="5"/>
  <c r="M22" i="5"/>
  <c r="N22" i="5"/>
  <c r="O22" i="5"/>
  <c r="P22" i="5"/>
  <c r="H23" i="5"/>
  <c r="I23" i="5"/>
  <c r="J23" i="5"/>
  <c r="K23" i="5"/>
  <c r="M23" i="5"/>
  <c r="N23" i="5"/>
  <c r="O23" i="5"/>
  <c r="P23" i="5"/>
  <c r="H24" i="5"/>
  <c r="I24" i="5"/>
  <c r="J24" i="5"/>
  <c r="K24" i="5"/>
  <c r="M24" i="5"/>
  <c r="N24" i="5"/>
  <c r="O24" i="5"/>
  <c r="P24" i="5"/>
  <c r="H25" i="5"/>
  <c r="I25" i="5"/>
  <c r="J25" i="5"/>
  <c r="K25" i="5"/>
  <c r="M25" i="5"/>
  <c r="N25" i="5"/>
  <c r="O25" i="5"/>
  <c r="P25" i="5"/>
  <c r="H26" i="5"/>
  <c r="I26" i="5"/>
  <c r="J26" i="5"/>
  <c r="K26" i="5"/>
  <c r="M26" i="5"/>
  <c r="N26" i="5"/>
  <c r="O26" i="5"/>
  <c r="P26" i="5"/>
  <c r="H27" i="5"/>
  <c r="I27" i="5"/>
  <c r="J27" i="5"/>
  <c r="K27" i="5"/>
  <c r="M27" i="5"/>
  <c r="N27" i="5"/>
  <c r="O27" i="5"/>
  <c r="P27" i="5"/>
  <c r="H28" i="5"/>
  <c r="I28" i="5"/>
  <c r="J28" i="5"/>
  <c r="K28" i="5"/>
  <c r="M28" i="5"/>
  <c r="N28" i="5"/>
  <c r="O28" i="5"/>
  <c r="P28" i="5"/>
  <c r="H29" i="5"/>
  <c r="I29" i="5"/>
  <c r="J29" i="5"/>
  <c r="K29" i="5"/>
  <c r="M29" i="5"/>
  <c r="N29" i="5"/>
  <c r="O29" i="5"/>
  <c r="P29" i="5"/>
  <c r="H30" i="5"/>
  <c r="I30" i="5"/>
  <c r="J30" i="5"/>
  <c r="K30" i="5"/>
  <c r="M30" i="5"/>
  <c r="N30" i="5"/>
  <c r="O30" i="5"/>
  <c r="P30" i="5"/>
  <c r="H31" i="5"/>
  <c r="I31" i="5"/>
  <c r="J31" i="5"/>
  <c r="K31" i="5"/>
  <c r="M31" i="5"/>
  <c r="N31" i="5"/>
  <c r="O31" i="5"/>
  <c r="P31" i="5"/>
  <c r="H32" i="5"/>
  <c r="I32" i="5"/>
  <c r="J32" i="5"/>
  <c r="K32" i="5"/>
  <c r="M32" i="5"/>
  <c r="N32" i="5"/>
  <c r="O32" i="5"/>
  <c r="P32" i="5"/>
  <c r="H33" i="5"/>
  <c r="I33" i="5"/>
  <c r="J33" i="5"/>
  <c r="K33" i="5"/>
  <c r="M33" i="5"/>
  <c r="N33" i="5"/>
  <c r="O33" i="5"/>
  <c r="P33" i="5"/>
  <c r="H34" i="5"/>
  <c r="I34" i="5"/>
  <c r="J34" i="5"/>
  <c r="K34" i="5"/>
  <c r="M34" i="5"/>
  <c r="N34" i="5"/>
  <c r="O34" i="5"/>
  <c r="P34" i="5"/>
  <c r="H35" i="5"/>
  <c r="I35" i="5"/>
  <c r="J35" i="5"/>
  <c r="K35" i="5"/>
  <c r="M35" i="5"/>
  <c r="N35" i="5"/>
  <c r="O35" i="5"/>
  <c r="P35" i="5"/>
  <c r="H36" i="5"/>
  <c r="I36" i="5"/>
  <c r="J36" i="5"/>
  <c r="K36" i="5"/>
  <c r="M36" i="5"/>
  <c r="N36" i="5"/>
  <c r="O36" i="5"/>
  <c r="P36" i="5"/>
  <c r="H37" i="5"/>
  <c r="I37" i="5"/>
  <c r="J37" i="5"/>
  <c r="K37" i="5"/>
  <c r="M37" i="5"/>
  <c r="N37" i="5"/>
  <c r="O37" i="5"/>
  <c r="P37" i="5"/>
  <c r="H38" i="5"/>
  <c r="I38" i="5"/>
  <c r="J38" i="5"/>
  <c r="K38" i="5"/>
  <c r="M38" i="5"/>
  <c r="N38" i="5"/>
  <c r="O38" i="5"/>
  <c r="P38" i="5"/>
  <c r="H39" i="5"/>
  <c r="I39" i="5"/>
  <c r="J39" i="5"/>
  <c r="K39" i="5"/>
  <c r="M39" i="5"/>
  <c r="N39" i="5"/>
  <c r="O39" i="5"/>
  <c r="P39" i="5"/>
  <c r="H40" i="5"/>
  <c r="I40" i="5"/>
  <c r="J40" i="5"/>
  <c r="K40" i="5"/>
  <c r="M40" i="5"/>
  <c r="N40" i="5"/>
  <c r="O40" i="5"/>
  <c r="P40" i="5"/>
  <c r="H41" i="5"/>
  <c r="I41" i="5"/>
  <c r="J41" i="5"/>
  <c r="K41" i="5"/>
  <c r="M41" i="5"/>
  <c r="N41" i="5"/>
  <c r="O41" i="5"/>
  <c r="P41" i="5"/>
  <c r="H42" i="5"/>
  <c r="I42" i="5"/>
  <c r="J42" i="5"/>
  <c r="K42" i="5"/>
  <c r="M42" i="5"/>
  <c r="N42" i="5"/>
  <c r="O42" i="5"/>
  <c r="P42" i="5"/>
  <c r="H43" i="5"/>
  <c r="I43" i="5"/>
  <c r="J43" i="5"/>
  <c r="K43" i="5"/>
  <c r="M43" i="5"/>
  <c r="N43" i="5"/>
  <c r="O43" i="5"/>
  <c r="P43" i="5"/>
  <c r="H44" i="5"/>
  <c r="I44" i="5"/>
  <c r="J44" i="5"/>
  <c r="K44" i="5"/>
  <c r="M44" i="5"/>
  <c r="N44" i="5"/>
  <c r="O44" i="5"/>
  <c r="P44" i="5"/>
  <c r="H45" i="5"/>
  <c r="I45" i="5"/>
  <c r="J45" i="5"/>
  <c r="K45" i="5"/>
  <c r="M45" i="5"/>
  <c r="N45" i="5"/>
  <c r="O45" i="5"/>
  <c r="P45" i="5"/>
  <c r="H46" i="5"/>
  <c r="I46" i="5"/>
  <c r="J46" i="5"/>
  <c r="K46" i="5"/>
  <c r="M46" i="5"/>
  <c r="N46" i="5"/>
  <c r="O46" i="5"/>
  <c r="P46" i="5"/>
  <c r="H47" i="5"/>
  <c r="I47" i="5"/>
  <c r="J47" i="5"/>
  <c r="K47" i="5"/>
  <c r="M47" i="5"/>
  <c r="N47" i="5"/>
  <c r="O47" i="5"/>
  <c r="P47" i="5"/>
  <c r="H48" i="5"/>
  <c r="I48" i="5"/>
  <c r="J48" i="5"/>
  <c r="K48" i="5"/>
  <c r="M48" i="5"/>
  <c r="N48" i="5"/>
  <c r="O48" i="5"/>
  <c r="P48" i="5"/>
  <c r="H49" i="5"/>
  <c r="I49" i="5"/>
  <c r="J49" i="5"/>
  <c r="K49" i="5"/>
  <c r="M49" i="5"/>
  <c r="N49" i="5"/>
  <c r="O49" i="5"/>
  <c r="P49" i="5"/>
  <c r="H50" i="5"/>
  <c r="I50" i="5"/>
  <c r="J50" i="5"/>
  <c r="K50" i="5"/>
  <c r="M50" i="5"/>
  <c r="N50" i="5"/>
  <c r="O50" i="5"/>
  <c r="P50" i="5"/>
  <c r="H51" i="5"/>
  <c r="I51" i="5"/>
  <c r="J51" i="5"/>
  <c r="K51" i="5"/>
  <c r="M51" i="5"/>
  <c r="N51" i="5"/>
  <c r="O51" i="5"/>
  <c r="P51" i="5"/>
  <c r="H52" i="5"/>
  <c r="I52" i="5"/>
  <c r="J52" i="5"/>
  <c r="K52" i="5"/>
  <c r="M52" i="5"/>
  <c r="N52" i="5"/>
  <c r="O52" i="5"/>
  <c r="P52" i="5"/>
  <c r="H53" i="5"/>
  <c r="I53" i="5"/>
  <c r="J53" i="5"/>
  <c r="K53" i="5"/>
  <c r="M53" i="5"/>
  <c r="N53" i="5"/>
  <c r="O53" i="5"/>
  <c r="P53" i="5"/>
  <c r="H54" i="5"/>
  <c r="I54" i="5"/>
  <c r="J54" i="5"/>
  <c r="K54" i="5"/>
  <c r="M54" i="5"/>
  <c r="N54" i="5"/>
  <c r="O54" i="5"/>
  <c r="P54" i="5"/>
  <c r="H55" i="5"/>
  <c r="I55" i="5"/>
  <c r="J55" i="5"/>
  <c r="K55" i="5"/>
  <c r="M55" i="5"/>
  <c r="N55" i="5"/>
  <c r="O55" i="5"/>
  <c r="P55" i="5"/>
  <c r="H56" i="5"/>
  <c r="I56" i="5"/>
  <c r="J56" i="5"/>
  <c r="K56" i="5"/>
  <c r="M56" i="5"/>
  <c r="N56" i="5"/>
  <c r="O56" i="5"/>
  <c r="P56" i="5"/>
  <c r="H57" i="5"/>
  <c r="I57" i="5"/>
  <c r="J57" i="5"/>
  <c r="K57" i="5"/>
  <c r="M57" i="5"/>
  <c r="N57" i="5"/>
  <c r="O57" i="5"/>
  <c r="P57" i="5"/>
  <c r="H58" i="5"/>
  <c r="I58" i="5"/>
  <c r="J58" i="5"/>
  <c r="K58" i="5"/>
  <c r="M58" i="5"/>
  <c r="N58" i="5"/>
  <c r="O58" i="5"/>
  <c r="P58" i="5"/>
  <c r="H59" i="5"/>
  <c r="I59" i="5"/>
  <c r="J59" i="5"/>
  <c r="K59" i="5"/>
  <c r="M59" i="5"/>
  <c r="N59" i="5"/>
  <c r="O59" i="5"/>
  <c r="P59" i="5"/>
  <c r="H60" i="5"/>
  <c r="I60" i="5"/>
  <c r="J60" i="5"/>
  <c r="K60" i="5"/>
  <c r="M60" i="5"/>
  <c r="N60" i="5"/>
  <c r="O60" i="5"/>
  <c r="P60" i="5"/>
  <c r="H61" i="5"/>
  <c r="I61" i="5"/>
  <c r="J61" i="5"/>
  <c r="K61" i="5"/>
  <c r="M61" i="5"/>
  <c r="N61" i="5"/>
  <c r="O61" i="5"/>
  <c r="P61" i="5"/>
  <c r="H62" i="5"/>
  <c r="I62" i="5"/>
  <c r="J62" i="5"/>
  <c r="K62" i="5"/>
  <c r="M62" i="5"/>
  <c r="N62" i="5"/>
  <c r="O62" i="5"/>
  <c r="P62" i="5"/>
  <c r="H63" i="5"/>
  <c r="I63" i="5"/>
  <c r="J63" i="5"/>
  <c r="K63" i="5"/>
  <c r="M63" i="5"/>
  <c r="N63" i="5"/>
  <c r="O63" i="5"/>
  <c r="P63" i="5"/>
  <c r="H64" i="5"/>
  <c r="I64" i="5"/>
  <c r="J64" i="5"/>
  <c r="K64" i="5"/>
  <c r="M64" i="5"/>
  <c r="N64" i="5"/>
  <c r="O64" i="5"/>
  <c r="P64" i="5"/>
  <c r="H65" i="5"/>
  <c r="I65" i="5"/>
  <c r="J65" i="5"/>
  <c r="K65" i="5"/>
  <c r="M65" i="5"/>
  <c r="N65" i="5"/>
  <c r="O65" i="5"/>
  <c r="P65" i="5"/>
  <c r="H66" i="5"/>
  <c r="I66" i="5"/>
  <c r="J66" i="5"/>
  <c r="K66" i="5"/>
  <c r="M66" i="5"/>
  <c r="N66" i="5"/>
  <c r="O66" i="5"/>
  <c r="P66" i="5"/>
  <c r="H67" i="5"/>
  <c r="I67" i="5"/>
  <c r="J67" i="5"/>
  <c r="K67" i="5"/>
  <c r="M67" i="5"/>
  <c r="N67" i="5"/>
  <c r="O67" i="5"/>
  <c r="P67" i="5"/>
  <c r="H68" i="5"/>
  <c r="I68" i="5"/>
  <c r="J68" i="5"/>
  <c r="K68" i="5"/>
  <c r="M68" i="5"/>
  <c r="N68" i="5"/>
  <c r="O68" i="5"/>
  <c r="P68" i="5"/>
  <c r="H69" i="5"/>
  <c r="I69" i="5"/>
  <c r="J69" i="5"/>
  <c r="K69" i="5"/>
  <c r="M69" i="5"/>
  <c r="N69" i="5"/>
  <c r="O69" i="5"/>
  <c r="P69" i="5"/>
  <c r="H70" i="5"/>
  <c r="I70" i="5"/>
  <c r="J70" i="5"/>
  <c r="K70" i="5"/>
  <c r="M70" i="5"/>
  <c r="N70" i="5"/>
  <c r="O70" i="5"/>
  <c r="P70" i="5"/>
  <c r="H71" i="5"/>
  <c r="I71" i="5"/>
  <c r="J71" i="5"/>
  <c r="K71" i="5"/>
  <c r="M71" i="5"/>
  <c r="N71" i="5"/>
  <c r="O71" i="5"/>
  <c r="P71" i="5"/>
  <c r="H72" i="5"/>
  <c r="I72" i="5"/>
  <c r="J72" i="5"/>
  <c r="K72" i="5"/>
  <c r="M72" i="5"/>
  <c r="N72" i="5"/>
  <c r="O72" i="5"/>
  <c r="P72" i="5"/>
  <c r="H73" i="5"/>
  <c r="I73" i="5"/>
  <c r="J73" i="5"/>
  <c r="K73" i="5"/>
  <c r="M73" i="5"/>
  <c r="N73" i="5"/>
  <c r="O73" i="5"/>
  <c r="P73" i="5"/>
  <c r="H74" i="5"/>
  <c r="I74" i="5"/>
  <c r="J74" i="5"/>
  <c r="K74" i="5"/>
  <c r="M74" i="5"/>
  <c r="N74" i="5"/>
  <c r="O74" i="5"/>
  <c r="P74" i="5"/>
  <c r="H75" i="5"/>
  <c r="I75" i="5"/>
  <c r="J75" i="5"/>
  <c r="K75" i="5"/>
  <c r="M75" i="5"/>
  <c r="N75" i="5"/>
  <c r="O75" i="5"/>
  <c r="P75" i="5"/>
  <c r="H76" i="5"/>
  <c r="I76" i="5"/>
  <c r="J76" i="5"/>
  <c r="K76" i="5"/>
  <c r="M76" i="5"/>
  <c r="N76" i="5"/>
  <c r="O76" i="5"/>
  <c r="P76" i="5"/>
  <c r="H77" i="5"/>
  <c r="I77" i="5"/>
  <c r="J77" i="5"/>
  <c r="K77" i="5"/>
  <c r="M77" i="5"/>
  <c r="N77" i="5"/>
  <c r="O77" i="5"/>
  <c r="P77" i="5"/>
  <c r="H78" i="5"/>
  <c r="I78" i="5"/>
  <c r="J78" i="5"/>
  <c r="K78" i="5"/>
  <c r="M78" i="5"/>
  <c r="N78" i="5"/>
  <c r="O78" i="5"/>
  <c r="P78" i="5"/>
  <c r="H79" i="5"/>
  <c r="I79" i="5"/>
  <c r="J79" i="5"/>
  <c r="K79" i="5"/>
  <c r="M79" i="5"/>
  <c r="N79" i="5"/>
  <c r="O79" i="5"/>
  <c r="P79" i="5"/>
  <c r="H80" i="5"/>
  <c r="I80" i="5"/>
  <c r="J80" i="5"/>
  <c r="K80" i="5"/>
  <c r="M80" i="5"/>
  <c r="N80" i="5"/>
  <c r="O80" i="5"/>
  <c r="P80" i="5"/>
  <c r="H81" i="5"/>
  <c r="I81" i="5"/>
  <c r="J81" i="5"/>
  <c r="K81" i="5"/>
  <c r="M81" i="5"/>
  <c r="N81" i="5"/>
  <c r="O81" i="5"/>
  <c r="P81" i="5"/>
  <c r="H82" i="5"/>
  <c r="I82" i="5"/>
  <c r="J82" i="5"/>
  <c r="K82" i="5"/>
  <c r="M82" i="5"/>
  <c r="N82" i="5"/>
  <c r="O82" i="5"/>
  <c r="P82" i="5"/>
  <c r="H83" i="5"/>
  <c r="I83" i="5"/>
  <c r="J83" i="5"/>
  <c r="K83" i="5"/>
  <c r="M83" i="5"/>
  <c r="N83" i="5"/>
  <c r="O83" i="5"/>
  <c r="P83" i="5"/>
  <c r="H84" i="5"/>
  <c r="I84" i="5"/>
  <c r="J84" i="5"/>
  <c r="K84" i="5"/>
  <c r="M84" i="5"/>
  <c r="N84" i="5"/>
  <c r="O84" i="5"/>
  <c r="P84" i="5"/>
  <c r="H85" i="5"/>
  <c r="I85" i="5"/>
  <c r="J85" i="5"/>
  <c r="K85" i="5"/>
  <c r="M85" i="5"/>
  <c r="N85" i="5"/>
  <c r="O85" i="5"/>
  <c r="P85" i="5"/>
  <c r="H86" i="5"/>
  <c r="I86" i="5"/>
  <c r="J86" i="5"/>
  <c r="K86" i="5"/>
  <c r="M86" i="5"/>
  <c r="N86" i="5"/>
  <c r="O86" i="5"/>
  <c r="P86" i="5"/>
  <c r="H87" i="5"/>
  <c r="I87" i="5"/>
  <c r="J87" i="5"/>
  <c r="K87" i="5"/>
  <c r="M87" i="5"/>
  <c r="N87" i="5"/>
  <c r="O87" i="5"/>
  <c r="P87" i="5"/>
  <c r="H88" i="5"/>
  <c r="I88" i="5"/>
  <c r="J88" i="5"/>
  <c r="K88" i="5"/>
  <c r="M88" i="5"/>
  <c r="N88" i="5"/>
  <c r="O88" i="5"/>
  <c r="P88" i="5"/>
  <c r="H89" i="5"/>
  <c r="I89" i="5"/>
  <c r="J89" i="5"/>
  <c r="K89" i="5"/>
  <c r="M89" i="5"/>
  <c r="N89" i="5"/>
  <c r="O89" i="5"/>
  <c r="P89" i="5"/>
  <c r="H90" i="5"/>
  <c r="I90" i="5"/>
  <c r="J90" i="5"/>
  <c r="K90" i="5"/>
  <c r="M90" i="5"/>
  <c r="N90" i="5"/>
  <c r="O90" i="5"/>
  <c r="P90" i="5"/>
  <c r="H91" i="5"/>
  <c r="I91" i="5"/>
  <c r="J91" i="5"/>
  <c r="K91" i="5"/>
  <c r="M91" i="5"/>
  <c r="N91" i="5"/>
  <c r="O91" i="5"/>
  <c r="P91" i="5"/>
  <c r="H92" i="5"/>
  <c r="I92" i="5"/>
  <c r="J92" i="5"/>
  <c r="K92" i="5"/>
  <c r="M92" i="5"/>
  <c r="N92" i="5"/>
  <c r="O92" i="5"/>
  <c r="P92" i="5"/>
  <c r="H93" i="5"/>
  <c r="I93" i="5"/>
  <c r="J93" i="5"/>
  <c r="K93" i="5"/>
  <c r="M93" i="5"/>
  <c r="N93" i="5"/>
  <c r="O93" i="5"/>
  <c r="P93" i="5"/>
  <c r="H94" i="5"/>
  <c r="I94" i="5"/>
  <c r="J94" i="5"/>
  <c r="K94" i="5"/>
  <c r="M94" i="5"/>
  <c r="N94" i="5"/>
  <c r="O94" i="5"/>
  <c r="P94" i="5"/>
  <c r="H95" i="5"/>
  <c r="I95" i="5"/>
  <c r="J95" i="5"/>
  <c r="K95" i="5"/>
  <c r="M95" i="5"/>
  <c r="N95" i="5"/>
  <c r="O95" i="5"/>
  <c r="P95" i="5"/>
  <c r="F97" i="5"/>
  <c r="F98" i="5" s="1"/>
  <c r="L80" i="3"/>
  <c r="L76" i="3"/>
  <c r="L74" i="3"/>
  <c r="L63" i="3"/>
  <c r="L61" i="3"/>
  <c r="L50" i="3"/>
  <c r="L44" i="3"/>
  <c r="J95" i="3"/>
  <c r="I95" i="3"/>
  <c r="H95" i="3"/>
  <c r="J94" i="3"/>
  <c r="K94" i="3" s="1"/>
  <c r="I94" i="3"/>
  <c r="L94" i="3" s="1"/>
  <c r="H94" i="3"/>
  <c r="J93" i="3"/>
  <c r="K93" i="3" s="1"/>
  <c r="I93" i="3"/>
  <c r="H93" i="3"/>
  <c r="L93" i="3" s="1"/>
  <c r="J92" i="3"/>
  <c r="K92" i="3" s="1"/>
  <c r="I92" i="3"/>
  <c r="H92" i="3"/>
  <c r="J91" i="3"/>
  <c r="K91" i="3" s="1"/>
  <c r="I91" i="3"/>
  <c r="H91" i="3"/>
  <c r="J90" i="3"/>
  <c r="K90" i="3" s="1"/>
  <c r="I90" i="3"/>
  <c r="L90" i="3" s="1"/>
  <c r="H90" i="3"/>
  <c r="K89" i="3"/>
  <c r="J89" i="3"/>
  <c r="I89" i="3"/>
  <c r="H89" i="3"/>
  <c r="J88" i="3"/>
  <c r="K88" i="3" s="1"/>
  <c r="I88" i="3"/>
  <c r="H88" i="3"/>
  <c r="L88" i="3" s="1"/>
  <c r="J87" i="3"/>
  <c r="I87" i="3"/>
  <c r="H87" i="3"/>
  <c r="J86" i="3"/>
  <c r="K86" i="3" s="1"/>
  <c r="I86" i="3"/>
  <c r="H86" i="3"/>
  <c r="J85" i="3"/>
  <c r="K85" i="3" s="1"/>
  <c r="I85" i="3"/>
  <c r="H85" i="3"/>
  <c r="J84" i="3"/>
  <c r="K84" i="3" s="1"/>
  <c r="I84" i="3"/>
  <c r="H84" i="3"/>
  <c r="L84" i="3" s="1"/>
  <c r="J83" i="3"/>
  <c r="K83" i="3" s="1"/>
  <c r="I83" i="3"/>
  <c r="H83" i="3"/>
  <c r="J82" i="3"/>
  <c r="K82" i="3" s="1"/>
  <c r="I82" i="3"/>
  <c r="H82" i="3"/>
  <c r="L82" i="3" s="1"/>
  <c r="J81" i="3"/>
  <c r="K81" i="3" s="1"/>
  <c r="I81" i="3"/>
  <c r="H81" i="3"/>
  <c r="J80" i="3"/>
  <c r="K80" i="3" s="1"/>
  <c r="I80" i="3"/>
  <c r="H80" i="3"/>
  <c r="J79" i="3"/>
  <c r="I79" i="3"/>
  <c r="H79" i="3"/>
  <c r="J78" i="3"/>
  <c r="K78" i="3" s="1"/>
  <c r="I78" i="3"/>
  <c r="L78" i="3" s="1"/>
  <c r="H78" i="3"/>
  <c r="J77" i="3"/>
  <c r="K77" i="3" s="1"/>
  <c r="I77" i="3"/>
  <c r="H77" i="3"/>
  <c r="J76" i="3"/>
  <c r="K76" i="3" s="1"/>
  <c r="I76" i="3"/>
  <c r="H76" i="3"/>
  <c r="J75" i="3"/>
  <c r="K75" i="3" s="1"/>
  <c r="I75" i="3"/>
  <c r="H75" i="3"/>
  <c r="L75" i="3" s="1"/>
  <c r="J74" i="3"/>
  <c r="K74" i="3" s="1"/>
  <c r="I74" i="3"/>
  <c r="H74" i="3"/>
  <c r="K73" i="3"/>
  <c r="J73" i="3"/>
  <c r="I73" i="3"/>
  <c r="H73" i="3"/>
  <c r="J72" i="3"/>
  <c r="K72" i="3" s="1"/>
  <c r="I72" i="3"/>
  <c r="H72" i="3"/>
  <c r="J71" i="3"/>
  <c r="I71" i="3"/>
  <c r="H71" i="3"/>
  <c r="J70" i="3"/>
  <c r="K70" i="3" s="1"/>
  <c r="I70" i="3"/>
  <c r="H70" i="3"/>
  <c r="J69" i="3"/>
  <c r="K69" i="3" s="1"/>
  <c r="I69" i="3"/>
  <c r="H69" i="3"/>
  <c r="J68" i="3"/>
  <c r="K68" i="3" s="1"/>
  <c r="I68" i="3"/>
  <c r="H68" i="3"/>
  <c r="J67" i="3"/>
  <c r="K67" i="3" s="1"/>
  <c r="I67" i="3"/>
  <c r="H67" i="3"/>
  <c r="J66" i="3"/>
  <c r="K66" i="3" s="1"/>
  <c r="I66" i="3"/>
  <c r="H66" i="3"/>
  <c r="L66" i="3" s="1"/>
  <c r="J65" i="3"/>
  <c r="K65" i="3" s="1"/>
  <c r="I65" i="3"/>
  <c r="H65" i="3"/>
  <c r="J64" i="3"/>
  <c r="K64" i="3" s="1"/>
  <c r="I64" i="3"/>
  <c r="H64" i="3"/>
  <c r="J63" i="3"/>
  <c r="K63" i="3" s="1"/>
  <c r="I63" i="3"/>
  <c r="H63" i="3"/>
  <c r="J62" i="3"/>
  <c r="K62" i="3" s="1"/>
  <c r="I62" i="3"/>
  <c r="L62" i="3" s="1"/>
  <c r="H62" i="3"/>
  <c r="J61" i="3"/>
  <c r="K61" i="3" s="1"/>
  <c r="I61" i="3"/>
  <c r="H61" i="3"/>
  <c r="J60" i="3"/>
  <c r="K60" i="3" s="1"/>
  <c r="I60" i="3"/>
  <c r="H60" i="3"/>
  <c r="J59" i="3"/>
  <c r="K59" i="3" s="1"/>
  <c r="I59" i="3"/>
  <c r="H59" i="3"/>
  <c r="J58" i="3"/>
  <c r="K58" i="3" s="1"/>
  <c r="I58" i="3"/>
  <c r="L58" i="3" s="1"/>
  <c r="H58" i="3"/>
  <c r="K57" i="3"/>
  <c r="J57" i="3"/>
  <c r="I57" i="3"/>
  <c r="H57" i="3"/>
  <c r="J56" i="3"/>
  <c r="K56" i="3" s="1"/>
  <c r="I56" i="3"/>
  <c r="H56" i="3"/>
  <c r="L56" i="3" s="1"/>
  <c r="J55" i="3"/>
  <c r="I55" i="3"/>
  <c r="H55" i="3"/>
  <c r="J54" i="3"/>
  <c r="K54" i="3" s="1"/>
  <c r="I54" i="3"/>
  <c r="H54" i="3"/>
  <c r="J53" i="3"/>
  <c r="K53" i="3" s="1"/>
  <c r="I53" i="3"/>
  <c r="H53" i="3"/>
  <c r="J52" i="3"/>
  <c r="K52" i="3" s="1"/>
  <c r="I52" i="3"/>
  <c r="H52" i="3"/>
  <c r="L52" i="3" s="1"/>
  <c r="J51" i="3"/>
  <c r="K51" i="3" s="1"/>
  <c r="I51" i="3"/>
  <c r="H51" i="3"/>
  <c r="J50" i="3"/>
  <c r="K50" i="3" s="1"/>
  <c r="I50" i="3"/>
  <c r="H50" i="3"/>
  <c r="J49" i="3"/>
  <c r="K49" i="3" s="1"/>
  <c r="I49" i="3"/>
  <c r="H49" i="3"/>
  <c r="J48" i="3"/>
  <c r="K48" i="3" s="1"/>
  <c r="I48" i="3"/>
  <c r="H48" i="3"/>
  <c r="J47" i="3"/>
  <c r="I47" i="3"/>
  <c r="H47" i="3"/>
  <c r="J46" i="3"/>
  <c r="K46" i="3" s="1"/>
  <c r="I46" i="3"/>
  <c r="L46" i="3" s="1"/>
  <c r="H46" i="3"/>
  <c r="J45" i="3"/>
  <c r="K45" i="3" s="1"/>
  <c r="I45" i="3"/>
  <c r="H45" i="3"/>
  <c r="J44" i="3"/>
  <c r="K44" i="3" s="1"/>
  <c r="I44" i="3"/>
  <c r="H44" i="3"/>
  <c r="J43" i="3"/>
  <c r="K43" i="3" s="1"/>
  <c r="I43" i="3"/>
  <c r="H43" i="3"/>
  <c r="L43" i="3" s="1"/>
  <c r="J42" i="3"/>
  <c r="K42" i="3" s="1"/>
  <c r="I42" i="3"/>
  <c r="H42" i="3"/>
  <c r="L42" i="3" s="1"/>
  <c r="K41" i="3"/>
  <c r="J41" i="3"/>
  <c r="I41" i="3"/>
  <c r="H41" i="3"/>
  <c r="J40" i="3"/>
  <c r="K40" i="3" s="1"/>
  <c r="I40" i="3"/>
  <c r="H40" i="3"/>
  <c r="J39" i="3"/>
  <c r="I39" i="3"/>
  <c r="H39" i="3"/>
  <c r="J38" i="3"/>
  <c r="K38" i="3" s="1"/>
  <c r="I38" i="3"/>
  <c r="H38" i="3"/>
  <c r="J37" i="3"/>
  <c r="K37" i="3" s="1"/>
  <c r="I37" i="3"/>
  <c r="H37" i="3"/>
  <c r="J36" i="3"/>
  <c r="K36" i="3" s="1"/>
  <c r="I36" i="3"/>
  <c r="H36" i="3"/>
  <c r="J35" i="3"/>
  <c r="K35" i="3" s="1"/>
  <c r="I35" i="3"/>
  <c r="H35" i="3"/>
  <c r="J34" i="3"/>
  <c r="K34" i="3" s="1"/>
  <c r="I34" i="3"/>
  <c r="H34" i="3"/>
  <c r="L34" i="3" s="1"/>
  <c r="J33" i="3"/>
  <c r="K33" i="3" s="1"/>
  <c r="I33" i="3"/>
  <c r="H33" i="3"/>
  <c r="J32" i="3"/>
  <c r="K32" i="3" s="1"/>
  <c r="I32" i="3"/>
  <c r="H32" i="3"/>
  <c r="J31" i="3"/>
  <c r="I31" i="3"/>
  <c r="H31" i="3"/>
  <c r="J30" i="3"/>
  <c r="K30" i="3" s="1"/>
  <c r="I30" i="3"/>
  <c r="L30" i="3" s="1"/>
  <c r="H30" i="3"/>
  <c r="J29" i="3"/>
  <c r="K29" i="3" s="1"/>
  <c r="I29" i="3"/>
  <c r="H29" i="3"/>
  <c r="L29" i="3" s="1"/>
  <c r="J28" i="3"/>
  <c r="K28" i="3" s="1"/>
  <c r="I28" i="3"/>
  <c r="H28" i="3"/>
  <c r="J27" i="3"/>
  <c r="K27" i="3" s="1"/>
  <c r="I27" i="3"/>
  <c r="H27" i="3"/>
  <c r="J26" i="3"/>
  <c r="K26" i="3" s="1"/>
  <c r="I26" i="3"/>
  <c r="H26" i="3"/>
  <c r="L26" i="3" s="1"/>
  <c r="K25" i="3"/>
  <c r="J25" i="3"/>
  <c r="I25" i="3"/>
  <c r="H25" i="3"/>
  <c r="J24" i="3"/>
  <c r="K24" i="3" s="1"/>
  <c r="I24" i="3"/>
  <c r="H24" i="3"/>
  <c r="L24" i="3" s="1"/>
  <c r="J23" i="3"/>
  <c r="I23" i="3"/>
  <c r="H23" i="3"/>
  <c r="J22" i="3"/>
  <c r="K22" i="3" s="1"/>
  <c r="I22" i="3"/>
  <c r="H22" i="3"/>
  <c r="J21" i="3"/>
  <c r="K21" i="3" s="1"/>
  <c r="I21" i="3"/>
  <c r="H21" i="3"/>
  <c r="J20" i="3"/>
  <c r="K20" i="3" s="1"/>
  <c r="I20" i="3"/>
  <c r="H20" i="3"/>
  <c r="L20" i="3" s="1"/>
  <c r="J19" i="3"/>
  <c r="K19" i="3" s="1"/>
  <c r="I19" i="3"/>
  <c r="H19" i="3"/>
  <c r="J18" i="3"/>
  <c r="K18" i="3" s="1"/>
  <c r="I18" i="3"/>
  <c r="H18" i="3"/>
  <c r="L18" i="3" s="1"/>
  <c r="J17" i="3"/>
  <c r="K17" i="3" s="1"/>
  <c r="I17" i="3"/>
  <c r="H17" i="3"/>
  <c r="J16" i="3"/>
  <c r="K16" i="3" s="1"/>
  <c r="I16" i="3"/>
  <c r="H16" i="3"/>
  <c r="J15" i="3"/>
  <c r="I15" i="3"/>
  <c r="H15" i="3"/>
  <c r="J14" i="3"/>
  <c r="K14" i="3" s="1"/>
  <c r="I14" i="3"/>
  <c r="L14" i="3" s="1"/>
  <c r="H14" i="3"/>
  <c r="J13" i="3"/>
  <c r="K13" i="3" s="1"/>
  <c r="I13" i="3"/>
  <c r="H13" i="3"/>
  <c r="J12" i="3"/>
  <c r="K12" i="3" s="1"/>
  <c r="I12" i="3"/>
  <c r="H12" i="3"/>
  <c r="J11" i="3"/>
  <c r="K11" i="3" s="1"/>
  <c r="I11" i="3"/>
  <c r="H11" i="3"/>
  <c r="L11" i="3" s="1"/>
  <c r="J10" i="3"/>
  <c r="K10" i="3" s="1"/>
  <c r="I10" i="3"/>
  <c r="H10" i="3"/>
  <c r="L10" i="3" s="1"/>
  <c r="K9" i="3"/>
  <c r="J9" i="3"/>
  <c r="I9" i="3"/>
  <c r="H9" i="3"/>
  <c r="J8" i="3"/>
  <c r="K8" i="3" s="1"/>
  <c r="I8" i="3"/>
  <c r="H8" i="3"/>
  <c r="J7" i="3"/>
  <c r="I7" i="3"/>
  <c r="H7" i="3"/>
  <c r="J6" i="3"/>
  <c r="K6" i="3" s="1"/>
  <c r="I6" i="3"/>
  <c r="H6" i="3"/>
  <c r="J5" i="3"/>
  <c r="K5" i="3" s="1"/>
  <c r="I5" i="3"/>
  <c r="H5" i="3"/>
  <c r="J4" i="3"/>
  <c r="K4" i="3" s="1"/>
  <c r="I4" i="3"/>
  <c r="H4" i="3"/>
  <c r="J3" i="3"/>
  <c r="K3" i="3" s="1"/>
  <c r="I3" i="3"/>
  <c r="H3" i="3"/>
  <c r="O97" i="5" l="1"/>
  <c r="J97" i="5"/>
  <c r="V97" i="5" s="1"/>
  <c r="W63" i="1"/>
  <c r="C18" i="4" s="1"/>
  <c r="L4" i="3"/>
  <c r="L8" i="3"/>
  <c r="L17" i="3"/>
  <c r="L36" i="3"/>
  <c r="L40" i="3"/>
  <c r="L49" i="3"/>
  <c r="L68" i="3"/>
  <c r="L72" i="3"/>
  <c r="L81" i="3"/>
  <c r="L5" i="3"/>
  <c r="L12" i="3"/>
  <c r="L16" i="3"/>
  <c r="L22" i="3"/>
  <c r="L25" i="3"/>
  <c r="L48" i="3"/>
  <c r="L54" i="3"/>
  <c r="L57" i="3"/>
  <c r="L86" i="3"/>
  <c r="L89" i="3"/>
  <c r="L33" i="3"/>
  <c r="L65" i="3"/>
  <c r="L6" i="3"/>
  <c r="L9" i="3"/>
  <c r="L19" i="3"/>
  <c r="L28" i="3"/>
  <c r="L32" i="3"/>
  <c r="L37" i="3"/>
  <c r="L38" i="3"/>
  <c r="L41" i="3"/>
  <c r="L51" i="3"/>
  <c r="L60" i="3"/>
  <c r="L64" i="3"/>
  <c r="L69" i="3"/>
  <c r="L70" i="3"/>
  <c r="L73" i="3"/>
  <c r="L83" i="3"/>
  <c r="L92" i="3"/>
  <c r="L3" i="3"/>
  <c r="L21" i="3"/>
  <c r="L35" i="3"/>
  <c r="L53" i="3"/>
  <c r="L67" i="3"/>
  <c r="L85" i="3"/>
  <c r="L13" i="3"/>
  <c r="L27" i="3"/>
  <c r="L45" i="3"/>
  <c r="L47" i="3"/>
  <c r="L59" i="3"/>
  <c r="L77" i="3"/>
  <c r="L91" i="3"/>
  <c r="K7" i="3"/>
  <c r="L7" i="3" s="1"/>
  <c r="K15" i="3"/>
  <c r="L15" i="3" s="1"/>
  <c r="K23" i="3"/>
  <c r="L23" i="3" s="1"/>
  <c r="K31" i="3"/>
  <c r="L31" i="3" s="1"/>
  <c r="K39" i="3"/>
  <c r="L39" i="3" s="1"/>
  <c r="K47" i="3"/>
  <c r="K55" i="3"/>
  <c r="L55" i="3" s="1"/>
  <c r="K71" i="3"/>
  <c r="L71" i="3" s="1"/>
  <c r="K79" i="3"/>
  <c r="L79" i="3" s="1"/>
  <c r="K87" i="3"/>
  <c r="L87" i="3" s="1"/>
  <c r="K95" i="3"/>
  <c r="L95" i="3" s="1"/>
  <c r="M97" i="5"/>
  <c r="H97" i="5"/>
  <c r="P97" i="5"/>
  <c r="K97" i="5"/>
  <c r="N97" i="5"/>
  <c r="I97" i="5"/>
  <c r="Q24" i="2"/>
  <c r="R23" i="2"/>
  <c r="V35" i="2"/>
  <c r="W35" i="2"/>
  <c r="U38" i="2"/>
  <c r="Y37" i="2"/>
  <c r="S25" i="2"/>
  <c r="S24" i="2"/>
  <c r="T97" i="5" l="1"/>
  <c r="L97" i="3"/>
  <c r="U97" i="5"/>
  <c r="V38" i="2"/>
  <c r="Z37" i="2"/>
  <c r="R25" i="2"/>
  <c r="R24" i="2"/>
  <c r="W38" i="2"/>
  <c r="AA37" i="2"/>
  <c r="W31" i="1" l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W17" i="1"/>
  <c r="X17" i="1" s="1"/>
  <c r="W16" i="1"/>
  <c r="X16" i="1" s="1"/>
  <c r="W15" i="1"/>
  <c r="X15" i="1" s="1"/>
  <c r="W14" i="1"/>
  <c r="X14" i="1" s="1"/>
  <c r="W13" i="1"/>
  <c r="X13" i="1" s="1"/>
  <c r="W12" i="1"/>
  <c r="X12" i="1" s="1"/>
  <c r="W11" i="1"/>
  <c r="X11" i="1" s="1"/>
  <c r="W10" i="1"/>
  <c r="X10" i="1" s="1"/>
  <c r="W9" i="1"/>
  <c r="X9" i="1" s="1"/>
  <c r="W8" i="1"/>
  <c r="X8" i="1" s="1"/>
  <c r="W7" i="1"/>
  <c r="X7" i="1" s="1"/>
  <c r="W6" i="1"/>
  <c r="X6" i="1" s="1"/>
  <c r="W5" i="1"/>
  <c r="X5" i="1" s="1"/>
  <c r="W4" i="1"/>
  <c r="X4" i="1" s="1"/>
  <c r="W3" i="1"/>
  <c r="X3" i="1" s="1"/>
  <c r="E23" i="4"/>
  <c r="D5" i="4"/>
  <c r="E15" i="4"/>
  <c r="E4" i="4" l="1"/>
  <c r="D4" i="4"/>
  <c r="E6" i="4"/>
  <c r="D6" i="4"/>
  <c r="D10" i="4"/>
  <c r="C7" i="4"/>
  <c r="E5" i="4"/>
  <c r="AH94" i="3" l="1"/>
  <c r="AH90" i="3"/>
  <c r="AH86" i="3"/>
  <c r="AH82" i="3"/>
  <c r="AH78" i="3"/>
  <c r="AH74" i="3"/>
  <c r="AH70" i="3"/>
  <c r="AH66" i="3"/>
  <c r="AH62" i="3"/>
  <c r="AH58" i="3"/>
  <c r="AH54" i="3"/>
  <c r="AH50" i="3"/>
  <c r="AH46" i="3"/>
  <c r="AH42" i="3"/>
  <c r="AH38" i="3"/>
  <c r="AH34" i="3"/>
  <c r="AH30" i="3"/>
  <c r="AH26" i="3"/>
  <c r="AH22" i="3"/>
  <c r="AH18" i="3"/>
  <c r="AH14" i="3"/>
  <c r="AH10" i="3"/>
  <c r="AH6" i="3"/>
  <c r="AH93" i="3"/>
  <c r="AH89" i="3"/>
  <c r="AH85" i="3"/>
  <c r="AH81" i="3"/>
  <c r="AH77" i="3"/>
  <c r="AH73" i="3"/>
  <c r="AH69" i="3"/>
  <c r="AH65" i="3"/>
  <c r="AH61" i="3"/>
  <c r="AH57" i="3"/>
  <c r="AH53" i="3"/>
  <c r="AH49" i="3"/>
  <c r="AH45" i="3"/>
  <c r="AH41" i="3"/>
  <c r="AH37" i="3"/>
  <c r="AH33" i="3"/>
  <c r="AH29" i="3"/>
  <c r="AH25" i="3"/>
  <c r="AH21" i="3"/>
  <c r="AH17" i="3"/>
  <c r="AH13" i="3"/>
  <c r="AH9" i="3"/>
  <c r="AH5" i="3"/>
  <c r="AH92" i="3"/>
  <c r="AH88" i="3"/>
  <c r="AH84" i="3"/>
  <c r="AH80" i="3"/>
  <c r="AH76" i="3"/>
  <c r="AH72" i="3"/>
  <c r="AH68" i="3"/>
  <c r="AH64" i="3"/>
  <c r="AH60" i="3"/>
  <c r="AH56" i="3"/>
  <c r="AH52" i="3"/>
  <c r="AH48" i="3"/>
  <c r="AH44" i="3"/>
  <c r="AH40" i="3"/>
  <c r="AH36" i="3"/>
  <c r="AH32" i="3"/>
  <c r="AH28" i="3"/>
  <c r="AH24" i="3"/>
  <c r="AH20" i="3"/>
  <c r="AH16" i="3"/>
  <c r="AH12" i="3"/>
  <c r="AH8" i="3"/>
  <c r="AH4" i="3"/>
  <c r="AH95" i="3"/>
  <c r="AH91" i="3"/>
  <c r="AH87" i="3"/>
  <c r="AH83" i="3"/>
  <c r="AH79" i="3"/>
  <c r="AH75" i="3"/>
  <c r="AH71" i="3"/>
  <c r="AH67" i="3"/>
  <c r="AH63" i="3"/>
  <c r="AH59" i="3"/>
  <c r="AH55" i="3"/>
  <c r="AH51" i="3"/>
  <c r="AH47" i="3"/>
  <c r="AH43" i="3"/>
  <c r="AH39" i="3"/>
  <c r="AH35" i="3"/>
  <c r="AH27" i="3"/>
  <c r="AH11" i="3"/>
  <c r="AH23" i="3"/>
  <c r="AH7" i="3"/>
  <c r="AH19" i="3"/>
  <c r="AH3" i="3"/>
  <c r="AH31" i="3"/>
  <c r="AH15" i="3"/>
  <c r="AG94" i="3"/>
  <c r="AG90" i="3"/>
  <c r="AG86" i="3"/>
  <c r="AG82" i="3"/>
  <c r="AG78" i="3"/>
  <c r="AG74" i="3"/>
  <c r="AG70" i="3"/>
  <c r="AG66" i="3"/>
  <c r="AG62" i="3"/>
  <c r="AG58" i="3"/>
  <c r="AG54" i="3"/>
  <c r="AG50" i="3"/>
  <c r="AG46" i="3"/>
  <c r="AG42" i="3"/>
  <c r="AG38" i="3"/>
  <c r="AG34" i="3"/>
  <c r="AG30" i="3"/>
  <c r="AG26" i="3"/>
  <c r="AG22" i="3"/>
  <c r="AG18" i="3"/>
  <c r="AG14" i="3"/>
  <c r="AG10" i="3"/>
  <c r="AG6" i="3"/>
  <c r="AG93" i="3"/>
  <c r="AG89" i="3"/>
  <c r="AG85" i="3"/>
  <c r="AG81" i="3"/>
  <c r="AG77" i="3"/>
  <c r="AG73" i="3"/>
  <c r="AG69" i="3"/>
  <c r="AG65" i="3"/>
  <c r="AG61" i="3"/>
  <c r="AG57" i="3"/>
  <c r="AG53" i="3"/>
  <c r="AG49" i="3"/>
  <c r="AG45" i="3"/>
  <c r="AG41" i="3"/>
  <c r="AG37" i="3"/>
  <c r="AG33" i="3"/>
  <c r="AG29" i="3"/>
  <c r="AG25" i="3"/>
  <c r="AG21" i="3"/>
  <c r="AG13" i="3"/>
  <c r="AG9" i="3"/>
  <c r="AG5" i="3"/>
  <c r="AG92" i="3"/>
  <c r="AG88" i="3"/>
  <c r="AG84" i="3"/>
  <c r="AG80" i="3"/>
  <c r="AG76" i="3"/>
  <c r="AG72" i="3"/>
  <c r="AG68" i="3"/>
  <c r="AG64" i="3"/>
  <c r="AG60" i="3"/>
  <c r="AG56" i="3"/>
  <c r="AG52" i="3"/>
  <c r="AG48" i="3"/>
  <c r="AG44" i="3"/>
  <c r="AG40" i="3"/>
  <c r="AG36" i="3"/>
  <c r="AG32" i="3"/>
  <c r="AG28" i="3"/>
  <c r="AG24" i="3"/>
  <c r="AG20" i="3"/>
  <c r="AG16" i="3"/>
  <c r="AG12" i="3"/>
  <c r="AG8" i="3"/>
  <c r="AG4" i="3"/>
  <c r="AG95" i="3"/>
  <c r="AG91" i="3"/>
  <c r="AG87" i="3"/>
  <c r="AG83" i="3"/>
  <c r="AG79" i="3"/>
  <c r="AG75" i="3"/>
  <c r="AG71" i="3"/>
  <c r="AG67" i="3"/>
  <c r="AG63" i="3"/>
  <c r="AG59" i="3"/>
  <c r="AG55" i="3"/>
  <c r="AG51" i="3"/>
  <c r="AG47" i="3"/>
  <c r="AG43" i="3"/>
  <c r="AG39" i="3"/>
  <c r="AG35" i="3"/>
  <c r="AG31" i="3"/>
  <c r="AG27" i="3"/>
  <c r="AG23" i="3"/>
  <c r="AG19" i="3"/>
  <c r="AG15" i="3"/>
  <c r="AG11" i="3"/>
  <c r="AG7" i="3"/>
  <c r="AG3" i="3"/>
  <c r="AG17" i="3"/>
  <c r="AF95" i="3"/>
  <c r="AF93" i="3"/>
  <c r="AF91" i="3"/>
  <c r="AF89" i="3"/>
  <c r="AF87" i="3"/>
  <c r="AF85" i="3"/>
  <c r="AF83" i="3"/>
  <c r="AI83" i="3" s="1"/>
  <c r="AF81" i="3"/>
  <c r="AF79" i="3"/>
  <c r="AF77" i="3"/>
  <c r="AF75" i="3"/>
  <c r="AF73" i="3"/>
  <c r="AF71" i="3"/>
  <c r="AF69" i="3"/>
  <c r="AF67" i="3"/>
  <c r="AI67" i="3" s="1"/>
  <c r="AF65" i="3"/>
  <c r="AF63" i="3"/>
  <c r="AF61" i="3"/>
  <c r="AF59" i="3"/>
  <c r="AF57" i="3"/>
  <c r="AF55" i="3"/>
  <c r="AF53" i="3"/>
  <c r="AF51" i="3"/>
  <c r="AI51" i="3" s="1"/>
  <c r="AF49" i="3"/>
  <c r="AF47" i="3"/>
  <c r="AF45" i="3"/>
  <c r="AF43" i="3"/>
  <c r="AF41" i="3"/>
  <c r="AF39" i="3"/>
  <c r="AF37" i="3"/>
  <c r="AF35" i="3"/>
  <c r="AI35" i="3" s="1"/>
  <c r="AF33" i="3"/>
  <c r="AF31" i="3"/>
  <c r="AF29" i="3"/>
  <c r="AF27" i="3"/>
  <c r="AF25" i="3"/>
  <c r="AF23" i="3"/>
  <c r="AF21" i="3"/>
  <c r="AF19" i="3"/>
  <c r="AF17" i="3"/>
  <c r="AF15" i="3"/>
  <c r="AF13" i="3"/>
  <c r="AI13" i="3" s="1"/>
  <c r="AF11" i="3"/>
  <c r="AF9" i="3"/>
  <c r="AF7" i="3"/>
  <c r="AF5" i="3"/>
  <c r="AF3" i="3"/>
  <c r="AF94" i="3"/>
  <c r="AF92" i="3"/>
  <c r="AI92" i="3" s="1"/>
  <c r="AF90" i="3"/>
  <c r="AF88" i="3"/>
  <c r="AF86" i="3"/>
  <c r="AF84" i="3"/>
  <c r="AF82" i="3"/>
  <c r="AF80" i="3"/>
  <c r="AF78" i="3"/>
  <c r="AF76" i="3"/>
  <c r="AI76" i="3" s="1"/>
  <c r="AF74" i="3"/>
  <c r="AF72" i="3"/>
  <c r="AF70" i="3"/>
  <c r="AF68" i="3"/>
  <c r="AF66" i="3"/>
  <c r="AF64" i="3"/>
  <c r="AF58" i="3"/>
  <c r="AF50" i="3"/>
  <c r="AF42" i="3"/>
  <c r="AF34" i="3"/>
  <c r="AF26" i="3"/>
  <c r="AF18" i="3"/>
  <c r="AF10" i="3"/>
  <c r="AF60" i="3"/>
  <c r="AF52" i="3"/>
  <c r="AF44" i="3"/>
  <c r="AI44" i="3" s="1"/>
  <c r="AF36" i="3"/>
  <c r="AF28" i="3"/>
  <c r="AF20" i="3"/>
  <c r="AF12" i="3"/>
  <c r="AI12" i="3" s="1"/>
  <c r="AF4" i="3"/>
  <c r="AF62" i="3"/>
  <c r="AF54" i="3"/>
  <c r="AF46" i="3"/>
  <c r="AF38" i="3"/>
  <c r="AF30" i="3"/>
  <c r="AF22" i="3"/>
  <c r="AF14" i="3"/>
  <c r="AF6" i="3"/>
  <c r="AF56" i="3"/>
  <c r="AF48" i="3"/>
  <c r="AI48" i="3" s="1"/>
  <c r="AF40" i="3"/>
  <c r="AF32" i="3"/>
  <c r="AF24" i="3"/>
  <c r="AF16" i="3"/>
  <c r="AI16" i="3" s="1"/>
  <c r="AF8" i="3"/>
  <c r="E7" i="4"/>
  <c r="D7" i="4"/>
  <c r="D18" i="4"/>
  <c r="E10" i="4"/>
  <c r="E11" i="4" s="1"/>
  <c r="O1" i="3" s="1"/>
  <c r="P1" i="3" s="1"/>
  <c r="C11" i="4"/>
  <c r="D11" i="4" s="1"/>
  <c r="AI6" i="3" l="1"/>
  <c r="AL6" i="3" s="1"/>
  <c r="AI38" i="3"/>
  <c r="AL38" i="3" s="1"/>
  <c r="AI32" i="3"/>
  <c r="AM32" i="3" s="1"/>
  <c r="AI10" i="3"/>
  <c r="AK10" i="3" s="1"/>
  <c r="AI42" i="3"/>
  <c r="AM42" i="3" s="1"/>
  <c r="AI66" i="3"/>
  <c r="AK66" i="3" s="1"/>
  <c r="AI74" i="3"/>
  <c r="AL74" i="3" s="1"/>
  <c r="AI82" i="3"/>
  <c r="AK82" i="3" s="1"/>
  <c r="AI90" i="3"/>
  <c r="AL90" i="3" s="1"/>
  <c r="AI5" i="3"/>
  <c r="AM5" i="3" s="1"/>
  <c r="AI21" i="3"/>
  <c r="AL21" i="3" s="1"/>
  <c r="AI29" i="3"/>
  <c r="AK29" i="3" s="1"/>
  <c r="AI37" i="3"/>
  <c r="AL37" i="3" s="1"/>
  <c r="AI45" i="3"/>
  <c r="AL45" i="3" s="1"/>
  <c r="AI53" i="3"/>
  <c r="AL53" i="3" s="1"/>
  <c r="AI61" i="3"/>
  <c r="AL61" i="3" s="1"/>
  <c r="AI69" i="3"/>
  <c r="AK69" i="3" s="1"/>
  <c r="AI77" i="3"/>
  <c r="AM77" i="3" s="1"/>
  <c r="AI85" i="3"/>
  <c r="AL85" i="3" s="1"/>
  <c r="AI93" i="3"/>
  <c r="AL93" i="3" s="1"/>
  <c r="AI47" i="3"/>
  <c r="AM47" i="3" s="1"/>
  <c r="AI63" i="3"/>
  <c r="AM63" i="3" s="1"/>
  <c r="AI79" i="3"/>
  <c r="AL79" i="3" s="1"/>
  <c r="AI95" i="3"/>
  <c r="AL95" i="3" s="1"/>
  <c r="AI30" i="3"/>
  <c r="AL30" i="3" s="1"/>
  <c r="AI62" i="3"/>
  <c r="AK62" i="3" s="1"/>
  <c r="AI34" i="3"/>
  <c r="AM34" i="3" s="1"/>
  <c r="AI64" i="3"/>
  <c r="AM64" i="3" s="1"/>
  <c r="AI80" i="3"/>
  <c r="AK80" i="3" s="1"/>
  <c r="AI3" i="3"/>
  <c r="AL3" i="3" s="1"/>
  <c r="AI19" i="3"/>
  <c r="AK19" i="3" s="1"/>
  <c r="AI4" i="3"/>
  <c r="AK4" i="3" s="1"/>
  <c r="AI36" i="3"/>
  <c r="AK36" i="3" s="1"/>
  <c r="AI14" i="3"/>
  <c r="AL14" i="3" s="1"/>
  <c r="AI46" i="3"/>
  <c r="AK46" i="3" s="1"/>
  <c r="AI18" i="3"/>
  <c r="AK18" i="3" s="1"/>
  <c r="AI50" i="3"/>
  <c r="AK50" i="3" s="1"/>
  <c r="AI68" i="3"/>
  <c r="AM68" i="3" s="1"/>
  <c r="AI84" i="3"/>
  <c r="AK84" i="3" s="1"/>
  <c r="AI15" i="3"/>
  <c r="AL15" i="3" s="1"/>
  <c r="AI31" i="3"/>
  <c r="AL31" i="3" s="1"/>
  <c r="AI20" i="3"/>
  <c r="AK20" i="3" s="1"/>
  <c r="AI52" i="3"/>
  <c r="AL52" i="3" s="1"/>
  <c r="AI78" i="3"/>
  <c r="AM78" i="3" s="1"/>
  <c r="AI94" i="3"/>
  <c r="AK94" i="3" s="1"/>
  <c r="AI9" i="3"/>
  <c r="AM9" i="3" s="1"/>
  <c r="AI17" i="3"/>
  <c r="AL17" i="3" s="1"/>
  <c r="AI25" i="3"/>
  <c r="AM25" i="3" s="1"/>
  <c r="AI41" i="3"/>
  <c r="AK41" i="3" s="1"/>
  <c r="AI57" i="3"/>
  <c r="AL57" i="3" s="1"/>
  <c r="AI73" i="3"/>
  <c r="AM73" i="3" s="1"/>
  <c r="AI89" i="3"/>
  <c r="AL89" i="3" s="1"/>
  <c r="AI40" i="3"/>
  <c r="AL40" i="3" s="1"/>
  <c r="AI7" i="3"/>
  <c r="AL7" i="3" s="1"/>
  <c r="AI23" i="3"/>
  <c r="AM23" i="3" s="1"/>
  <c r="AI39" i="3"/>
  <c r="AK39" i="3" s="1"/>
  <c r="AI55" i="3"/>
  <c r="AL55" i="3" s="1"/>
  <c r="AI87" i="3"/>
  <c r="AM87" i="3" s="1"/>
  <c r="AI22" i="3"/>
  <c r="AK22" i="3" s="1"/>
  <c r="AI54" i="3"/>
  <c r="AM54" i="3" s="1"/>
  <c r="AI26" i="3"/>
  <c r="AM26" i="3" s="1"/>
  <c r="AI70" i="3"/>
  <c r="AL70" i="3" s="1"/>
  <c r="AI49" i="3"/>
  <c r="AL49" i="3" s="1"/>
  <c r="AI65" i="3"/>
  <c r="AL65" i="3" s="1"/>
  <c r="AI81" i="3"/>
  <c r="AK81" i="3" s="1"/>
  <c r="AI24" i="3"/>
  <c r="AM24" i="3" s="1"/>
  <c r="AI56" i="3"/>
  <c r="AK56" i="3" s="1"/>
  <c r="AI28" i="3"/>
  <c r="AK28" i="3" s="1"/>
  <c r="AI60" i="3"/>
  <c r="AM60" i="3" s="1"/>
  <c r="AI72" i="3"/>
  <c r="AK72" i="3" s="1"/>
  <c r="AI88" i="3"/>
  <c r="AM88" i="3" s="1"/>
  <c r="AI11" i="3"/>
  <c r="AM11" i="3" s="1"/>
  <c r="AI27" i="3"/>
  <c r="AM27" i="3" s="1"/>
  <c r="AI43" i="3"/>
  <c r="AK43" i="3" s="1"/>
  <c r="AI59" i="3"/>
  <c r="AL59" i="3" s="1"/>
  <c r="AI75" i="3"/>
  <c r="AM75" i="3" s="1"/>
  <c r="AI91" i="3"/>
  <c r="AK91" i="3" s="1"/>
  <c r="AI8" i="3"/>
  <c r="AM8" i="3" s="1"/>
  <c r="AI71" i="3"/>
  <c r="AL71" i="3" s="1"/>
  <c r="AI58" i="3"/>
  <c r="AL58" i="3" s="1"/>
  <c r="AI86" i="3"/>
  <c r="AM86" i="3" s="1"/>
  <c r="AI33" i="3"/>
  <c r="AM33" i="3" s="1"/>
  <c r="AL35" i="3"/>
  <c r="AK35" i="3"/>
  <c r="AM35" i="3"/>
  <c r="AL51" i="3"/>
  <c r="AK51" i="3"/>
  <c r="AM51" i="3"/>
  <c r="AM67" i="3"/>
  <c r="AL67" i="3"/>
  <c r="AK67" i="3"/>
  <c r="AK83" i="3"/>
  <c r="AM83" i="3"/>
  <c r="AL83" i="3"/>
  <c r="AM13" i="3"/>
  <c r="AL13" i="3"/>
  <c r="AK13" i="3"/>
  <c r="AK12" i="3"/>
  <c r="AL12" i="3"/>
  <c r="AM12" i="3"/>
  <c r="AM44" i="3"/>
  <c r="AK44" i="3"/>
  <c r="AL44" i="3"/>
  <c r="AK76" i="3"/>
  <c r="AL76" i="3"/>
  <c r="AM76" i="3"/>
  <c r="AM92" i="3"/>
  <c r="AK92" i="3"/>
  <c r="AL92" i="3"/>
  <c r="AM16" i="3"/>
  <c r="AL16" i="3"/>
  <c r="AK16" i="3"/>
  <c r="AM48" i="3"/>
  <c r="AK48" i="3"/>
  <c r="AL48" i="3"/>
  <c r="E84" i="3"/>
  <c r="M84" i="3" s="1"/>
  <c r="E16" i="3"/>
  <c r="M16" i="3" s="1"/>
  <c r="E40" i="3"/>
  <c r="M40" i="3" s="1"/>
  <c r="N40" i="3" s="1"/>
  <c r="E88" i="3"/>
  <c r="M88" i="3" s="1"/>
  <c r="N88" i="3" s="1"/>
  <c r="E52" i="3"/>
  <c r="M52" i="3" s="1"/>
  <c r="N52" i="3" s="1"/>
  <c r="E83" i="3"/>
  <c r="M83" i="3" s="1"/>
  <c r="E51" i="3"/>
  <c r="M51" i="3" s="1"/>
  <c r="N51" i="3" s="1"/>
  <c r="E19" i="3"/>
  <c r="M19" i="3" s="1"/>
  <c r="E87" i="3"/>
  <c r="M87" i="3" s="1"/>
  <c r="E55" i="3"/>
  <c r="M55" i="3" s="1"/>
  <c r="E23" i="3"/>
  <c r="M23" i="3" s="1"/>
  <c r="N23" i="3" s="1"/>
  <c r="E28" i="3"/>
  <c r="M28" i="3" s="1"/>
  <c r="N28" i="3" s="1"/>
  <c r="E92" i="3"/>
  <c r="M92" i="3" s="1"/>
  <c r="E17" i="3"/>
  <c r="M17" i="3" s="1"/>
  <c r="N17" i="3" s="1"/>
  <c r="E33" i="3"/>
  <c r="M33" i="3" s="1"/>
  <c r="N33" i="3" s="1"/>
  <c r="E49" i="3"/>
  <c r="M49" i="3" s="1"/>
  <c r="N49" i="3" s="1"/>
  <c r="E65" i="3"/>
  <c r="M65" i="3" s="1"/>
  <c r="E81" i="3"/>
  <c r="M81" i="3" s="1"/>
  <c r="E6" i="3"/>
  <c r="M6" i="3" s="1"/>
  <c r="E22" i="3"/>
  <c r="M22" i="3" s="1"/>
  <c r="E38" i="3"/>
  <c r="M38" i="3" s="1"/>
  <c r="N38" i="3" s="1"/>
  <c r="E54" i="3"/>
  <c r="M54" i="3" s="1"/>
  <c r="E70" i="3"/>
  <c r="M70" i="3" s="1"/>
  <c r="N70" i="3" s="1"/>
  <c r="E86" i="3"/>
  <c r="M86" i="3" s="1"/>
  <c r="N86" i="3" s="1"/>
  <c r="E15" i="3"/>
  <c r="M15" i="3" s="1"/>
  <c r="E44" i="3"/>
  <c r="M44" i="3" s="1"/>
  <c r="E21" i="3"/>
  <c r="M21" i="3" s="1"/>
  <c r="N21" i="3" s="1"/>
  <c r="E53" i="3"/>
  <c r="M53" i="3" s="1"/>
  <c r="N53" i="3" s="1"/>
  <c r="E69" i="3"/>
  <c r="M69" i="3" s="1"/>
  <c r="E10" i="3"/>
  <c r="M10" i="3" s="1"/>
  <c r="N10" i="3" s="1"/>
  <c r="E26" i="3"/>
  <c r="M26" i="3" s="1"/>
  <c r="N26" i="3" s="1"/>
  <c r="E42" i="3"/>
  <c r="M42" i="3" s="1"/>
  <c r="N42" i="3" s="1"/>
  <c r="E58" i="3"/>
  <c r="M58" i="3" s="1"/>
  <c r="E90" i="3"/>
  <c r="M90" i="3" s="1"/>
  <c r="E48" i="3"/>
  <c r="M48" i="3" s="1"/>
  <c r="N48" i="3" s="1"/>
  <c r="E24" i="3"/>
  <c r="M24" i="3" s="1"/>
  <c r="N24" i="3" s="1"/>
  <c r="E20" i="3"/>
  <c r="M20" i="3" s="1"/>
  <c r="N20" i="3" s="1"/>
  <c r="E67" i="3"/>
  <c r="M67" i="3" s="1"/>
  <c r="N67" i="3" s="1"/>
  <c r="E35" i="3"/>
  <c r="M35" i="3" s="1"/>
  <c r="N35" i="3" s="1"/>
  <c r="E71" i="3"/>
  <c r="M71" i="3" s="1"/>
  <c r="N71" i="3" s="1"/>
  <c r="E7" i="3"/>
  <c r="M7" i="3" s="1"/>
  <c r="E60" i="3"/>
  <c r="M60" i="3" s="1"/>
  <c r="E25" i="3"/>
  <c r="M25" i="3" s="1"/>
  <c r="N25" i="3" s="1"/>
  <c r="E41" i="3"/>
  <c r="M41" i="3" s="1"/>
  <c r="N41" i="3" s="1"/>
  <c r="E73" i="3"/>
  <c r="M73" i="3" s="1"/>
  <c r="N73" i="3" s="1"/>
  <c r="E14" i="3"/>
  <c r="M14" i="3" s="1"/>
  <c r="N14" i="3" s="1"/>
  <c r="E30" i="3"/>
  <c r="M30" i="3" s="1"/>
  <c r="N30" i="3" s="1"/>
  <c r="E62" i="3"/>
  <c r="M62" i="3" s="1"/>
  <c r="N62" i="3" s="1"/>
  <c r="E64" i="3"/>
  <c r="M64" i="3" s="1"/>
  <c r="N64" i="3" s="1"/>
  <c r="E56" i="3"/>
  <c r="M56" i="3" s="1"/>
  <c r="E36" i="3"/>
  <c r="M36" i="3" s="1"/>
  <c r="N36" i="3" s="1"/>
  <c r="E59" i="3"/>
  <c r="M59" i="3" s="1"/>
  <c r="N59" i="3" s="1"/>
  <c r="E95" i="3"/>
  <c r="M95" i="3" s="1"/>
  <c r="N95" i="3" s="1"/>
  <c r="E63" i="3"/>
  <c r="M63" i="3" s="1"/>
  <c r="E12" i="3"/>
  <c r="M12" i="3" s="1"/>
  <c r="N12" i="3" s="1"/>
  <c r="E13" i="3"/>
  <c r="M13" i="3" s="1"/>
  <c r="N13" i="3" s="1"/>
  <c r="E29" i="3"/>
  <c r="M29" i="3" s="1"/>
  <c r="N29" i="3" s="1"/>
  <c r="E61" i="3"/>
  <c r="M61" i="3" s="1"/>
  <c r="E77" i="3"/>
  <c r="M77" i="3" s="1"/>
  <c r="N77" i="3" s="1"/>
  <c r="E18" i="3"/>
  <c r="M18" i="3" s="1"/>
  <c r="N18" i="3" s="1"/>
  <c r="E50" i="3"/>
  <c r="M50" i="3" s="1"/>
  <c r="E66" i="3"/>
  <c r="M66" i="3" s="1"/>
  <c r="E80" i="3"/>
  <c r="M80" i="3" s="1"/>
  <c r="N80" i="3" s="1"/>
  <c r="E72" i="3"/>
  <c r="M72" i="3" s="1"/>
  <c r="N72" i="3" s="1"/>
  <c r="E4" i="3"/>
  <c r="M4" i="3" s="1"/>
  <c r="E68" i="3"/>
  <c r="M68" i="3" s="1"/>
  <c r="E75" i="3"/>
  <c r="M75" i="3" s="1"/>
  <c r="N75" i="3" s="1"/>
  <c r="E43" i="3"/>
  <c r="M43" i="3" s="1"/>
  <c r="N43" i="3" s="1"/>
  <c r="E11" i="3"/>
  <c r="M11" i="3" s="1"/>
  <c r="E79" i="3"/>
  <c r="M79" i="3" s="1"/>
  <c r="E47" i="3"/>
  <c r="M47" i="3" s="1"/>
  <c r="N47" i="3" s="1"/>
  <c r="E5" i="3"/>
  <c r="M5" i="3" s="1"/>
  <c r="N5" i="3" s="1"/>
  <c r="E37" i="3"/>
  <c r="M37" i="3" s="1"/>
  <c r="E85" i="3"/>
  <c r="M85" i="3" s="1"/>
  <c r="E74" i="3"/>
  <c r="M74" i="3" s="1"/>
  <c r="N74" i="3" s="1"/>
  <c r="E32" i="3"/>
  <c r="M32" i="3" s="1"/>
  <c r="N32" i="3" s="1"/>
  <c r="E94" i="3"/>
  <c r="M94" i="3" s="1"/>
  <c r="N94" i="3" s="1"/>
  <c r="E3" i="3"/>
  <c r="M3" i="3" s="1"/>
  <c r="E39" i="3"/>
  <c r="M39" i="3" s="1"/>
  <c r="N39" i="3" s="1"/>
  <c r="E9" i="3"/>
  <c r="M9" i="3" s="1"/>
  <c r="E57" i="3"/>
  <c r="M57" i="3" s="1"/>
  <c r="E89" i="3"/>
  <c r="M89" i="3" s="1"/>
  <c r="E46" i="3"/>
  <c r="M46" i="3" s="1"/>
  <c r="N46" i="3" s="1"/>
  <c r="E78" i="3"/>
  <c r="M78" i="3" s="1"/>
  <c r="N78" i="3" s="1"/>
  <c r="E8" i="3"/>
  <c r="M8" i="3" s="1"/>
  <c r="N8" i="3" s="1"/>
  <c r="E91" i="3"/>
  <c r="M91" i="3" s="1"/>
  <c r="E27" i="3"/>
  <c r="M27" i="3" s="1"/>
  <c r="N27" i="3" s="1"/>
  <c r="E31" i="3"/>
  <c r="M31" i="3" s="1"/>
  <c r="N31" i="3" s="1"/>
  <c r="E76" i="3"/>
  <c r="M76" i="3" s="1"/>
  <c r="N76" i="3" s="1"/>
  <c r="E45" i="3"/>
  <c r="M45" i="3" s="1"/>
  <c r="E93" i="3"/>
  <c r="M93" i="3" s="1"/>
  <c r="N93" i="3" s="1"/>
  <c r="E34" i="3"/>
  <c r="M34" i="3" s="1"/>
  <c r="E82" i="3"/>
  <c r="M82" i="3" s="1"/>
  <c r="E18" i="4"/>
  <c r="E19" i="4" s="1"/>
  <c r="C19" i="4"/>
  <c r="D19" i="4" s="1"/>
  <c r="N19" i="3"/>
  <c r="N65" i="3"/>
  <c r="AL47" i="3" l="1"/>
  <c r="AM40" i="3"/>
  <c r="AK38" i="3"/>
  <c r="AM6" i="3"/>
  <c r="AL50" i="3"/>
  <c r="AM69" i="3"/>
  <c r="AL10" i="3"/>
  <c r="AK47" i="3"/>
  <c r="AK37" i="3"/>
  <c r="AK6" i="3"/>
  <c r="AM38" i="3"/>
  <c r="AN38" i="3" s="1"/>
  <c r="AP38" i="3" s="1"/>
  <c r="AM61" i="3"/>
  <c r="AK93" i="3"/>
  <c r="AK95" i="3"/>
  <c r="AM85" i="3"/>
  <c r="AM29" i="3"/>
  <c r="AL82" i="3"/>
  <c r="AK68" i="3"/>
  <c r="AM14" i="3"/>
  <c r="AM82" i="3"/>
  <c r="AL81" i="3"/>
  <c r="AL69" i="3"/>
  <c r="AL42" i="3"/>
  <c r="AM41" i="3"/>
  <c r="AM95" i="3"/>
  <c r="AM93" i="3"/>
  <c r="AK61" i="3"/>
  <c r="AL29" i="3"/>
  <c r="AK90" i="3"/>
  <c r="AM10" i="3"/>
  <c r="AL60" i="3"/>
  <c r="AM53" i="3"/>
  <c r="AK74" i="3"/>
  <c r="AM21" i="3"/>
  <c r="AL63" i="3"/>
  <c r="AM37" i="3"/>
  <c r="AK32" i="3"/>
  <c r="AK63" i="3"/>
  <c r="AL5" i="3"/>
  <c r="AL66" i="3"/>
  <c r="AM62" i="3"/>
  <c r="AL94" i="3"/>
  <c r="AM55" i="3"/>
  <c r="AK77" i="3"/>
  <c r="AM45" i="3"/>
  <c r="AM90" i="3"/>
  <c r="AK42" i="3"/>
  <c r="AK30" i="3"/>
  <c r="AL80" i="3"/>
  <c r="AL24" i="3"/>
  <c r="AK53" i="3"/>
  <c r="AM79" i="3"/>
  <c r="AL77" i="3"/>
  <c r="AK45" i="3"/>
  <c r="AK5" i="3"/>
  <c r="AM74" i="3"/>
  <c r="AM66" i="3"/>
  <c r="AL32" i="3"/>
  <c r="AK79" i="3"/>
  <c r="AK85" i="3"/>
  <c r="AK21" i="3"/>
  <c r="AK8" i="3"/>
  <c r="AL56" i="3"/>
  <c r="AK9" i="3"/>
  <c r="AL46" i="3"/>
  <c r="AK57" i="3"/>
  <c r="AK70" i="3"/>
  <c r="AM7" i="3"/>
  <c r="AK14" i="3"/>
  <c r="AL43" i="3"/>
  <c r="AM3" i="3"/>
  <c r="AL19" i="3"/>
  <c r="AM84" i="3"/>
  <c r="AM17" i="3"/>
  <c r="AL84" i="3"/>
  <c r="AL68" i="3"/>
  <c r="AK3" i="3"/>
  <c r="AM81" i="3"/>
  <c r="AL41" i="3"/>
  <c r="AK86" i="3"/>
  <c r="AL26" i="3"/>
  <c r="AK55" i="3"/>
  <c r="AK31" i="3"/>
  <c r="AM50" i="3"/>
  <c r="AK40" i="3"/>
  <c r="AL36" i="3"/>
  <c r="AM91" i="3"/>
  <c r="AL27" i="3"/>
  <c r="AM80" i="3"/>
  <c r="AN80" i="3" s="1"/>
  <c r="AQ80" i="3" s="1"/>
  <c r="AM94" i="3"/>
  <c r="AN94" i="3" s="1"/>
  <c r="AQ94" i="3" s="1"/>
  <c r="AL86" i="3"/>
  <c r="AK26" i="3"/>
  <c r="AM31" i="3"/>
  <c r="AM36" i="3"/>
  <c r="AL91" i="3"/>
  <c r="AK27" i="3"/>
  <c r="AK60" i="3"/>
  <c r="AM30" i="3"/>
  <c r="AK25" i="3"/>
  <c r="AM65" i="3"/>
  <c r="AL64" i="3"/>
  <c r="AM52" i="3"/>
  <c r="AK59" i="3"/>
  <c r="AM19" i="3"/>
  <c r="AK34" i="3"/>
  <c r="AM57" i="3"/>
  <c r="AN57" i="3" s="1"/>
  <c r="AQ57" i="3" s="1"/>
  <c r="AK33" i="3"/>
  <c r="AL9" i="3"/>
  <c r="AM20" i="3"/>
  <c r="AL34" i="3"/>
  <c r="AL62" i="3"/>
  <c r="AK58" i="3"/>
  <c r="AK54" i="3"/>
  <c r="AL75" i="3"/>
  <c r="AK64" i="3"/>
  <c r="AM28" i="3"/>
  <c r="AM89" i="3"/>
  <c r="AL73" i="3"/>
  <c r="AK52" i="3"/>
  <c r="AM22" i="3"/>
  <c r="AL18" i="3"/>
  <c r="AK73" i="3"/>
  <c r="AL33" i="3"/>
  <c r="AM70" i="3"/>
  <c r="AL20" i="3"/>
  <c r="AK15" i="3"/>
  <c r="AL11" i="3"/>
  <c r="AK88" i="3"/>
  <c r="AM72" i="3"/>
  <c r="AK65" i="3"/>
  <c r="AK78" i="3"/>
  <c r="AM39" i="3"/>
  <c r="AM15" i="3"/>
  <c r="AM18" i="3"/>
  <c r="AL4" i="3"/>
  <c r="AK75" i="3"/>
  <c r="AK11" i="3"/>
  <c r="AL28" i="3"/>
  <c r="AK89" i="3"/>
  <c r="AL25" i="3"/>
  <c r="AK17" i="3"/>
  <c r="AL78" i="3"/>
  <c r="AM58" i="3"/>
  <c r="AL54" i="3"/>
  <c r="AL39" i="3"/>
  <c r="AM46" i="3"/>
  <c r="AN13" i="3"/>
  <c r="AP13" i="3" s="1"/>
  <c r="AM4" i="3"/>
  <c r="AL87" i="3"/>
  <c r="AK71" i="3"/>
  <c r="AL23" i="3"/>
  <c r="AK7" i="3"/>
  <c r="AL8" i="3"/>
  <c r="AK49" i="3"/>
  <c r="AM71" i="3"/>
  <c r="AM59" i="3"/>
  <c r="AL88" i="3"/>
  <c r="AM56" i="3"/>
  <c r="AM49" i="3"/>
  <c r="AL22" i="3"/>
  <c r="AK87" i="3"/>
  <c r="AK23" i="3"/>
  <c r="AM43" i="3"/>
  <c r="AL72" i="3"/>
  <c r="AK24" i="3"/>
  <c r="AN83" i="3"/>
  <c r="AQ83" i="3" s="1"/>
  <c r="AN67" i="3"/>
  <c r="AQ67" i="3" s="1"/>
  <c r="AN48" i="3"/>
  <c r="AQ48" i="3" s="1"/>
  <c r="AN44" i="3"/>
  <c r="AP44" i="3" s="1"/>
  <c r="AN12" i="3"/>
  <c r="AP12" i="3" s="1"/>
  <c r="AN35" i="3"/>
  <c r="AQ35" i="3" s="1"/>
  <c r="AN76" i="3"/>
  <c r="AQ76" i="3" s="1"/>
  <c r="AN16" i="3"/>
  <c r="AP16" i="3" s="1"/>
  <c r="AN92" i="3"/>
  <c r="AP92" i="3" s="1"/>
  <c r="AN51" i="3"/>
  <c r="AP51" i="3" s="1"/>
  <c r="P45" i="3"/>
  <c r="Q45" i="3"/>
  <c r="Q91" i="3"/>
  <c r="P91" i="3"/>
  <c r="P89" i="3"/>
  <c r="Q89" i="3"/>
  <c r="Q3" i="3"/>
  <c r="P3" i="3"/>
  <c r="M97" i="3"/>
  <c r="Q85" i="3"/>
  <c r="P85" i="3"/>
  <c r="P79" i="3"/>
  <c r="Q79" i="3"/>
  <c r="Q68" i="3"/>
  <c r="P68" i="3"/>
  <c r="P66" i="3"/>
  <c r="Q66" i="3"/>
  <c r="P61" i="3"/>
  <c r="Q61" i="3"/>
  <c r="P63" i="3"/>
  <c r="Q63" i="3"/>
  <c r="P56" i="3"/>
  <c r="Q56" i="3"/>
  <c r="Q14" i="3"/>
  <c r="P14" i="3"/>
  <c r="P60" i="3"/>
  <c r="Q60" i="3"/>
  <c r="Q67" i="3"/>
  <c r="P67" i="3"/>
  <c r="Q90" i="3"/>
  <c r="P90" i="3"/>
  <c r="P10" i="3"/>
  <c r="Q10" i="3"/>
  <c r="Q44" i="3"/>
  <c r="P44" i="3"/>
  <c r="Q54" i="3"/>
  <c r="P54" i="3"/>
  <c r="P81" i="3"/>
  <c r="Q81" i="3"/>
  <c r="P17" i="3"/>
  <c r="Q17" i="3"/>
  <c r="P55" i="3"/>
  <c r="Q55" i="3"/>
  <c r="Q83" i="3"/>
  <c r="P83" i="3"/>
  <c r="P16" i="3"/>
  <c r="Q16" i="3"/>
  <c r="N54" i="3"/>
  <c r="N68" i="3"/>
  <c r="N91" i="3"/>
  <c r="N66" i="3"/>
  <c r="N3" i="3"/>
  <c r="N83" i="3"/>
  <c r="P82" i="3"/>
  <c r="Q82" i="3"/>
  <c r="P76" i="3"/>
  <c r="Q76" i="3"/>
  <c r="P8" i="3"/>
  <c r="Q8" i="3"/>
  <c r="Q57" i="3"/>
  <c r="P57" i="3"/>
  <c r="P94" i="3"/>
  <c r="Q94" i="3"/>
  <c r="Q37" i="3"/>
  <c r="P37" i="3"/>
  <c r="Q11" i="3"/>
  <c r="P11" i="3"/>
  <c r="P4" i="3"/>
  <c r="Q4" i="3"/>
  <c r="P50" i="3"/>
  <c r="Q50" i="3"/>
  <c r="P29" i="3"/>
  <c r="Q29" i="3"/>
  <c r="Q95" i="3"/>
  <c r="P95" i="3"/>
  <c r="Q64" i="3"/>
  <c r="P64" i="3"/>
  <c r="P73" i="3"/>
  <c r="Q73" i="3"/>
  <c r="Q7" i="3"/>
  <c r="P7" i="3"/>
  <c r="Q20" i="3"/>
  <c r="P20" i="3"/>
  <c r="P58" i="3"/>
  <c r="Q58" i="3"/>
  <c r="Q69" i="3"/>
  <c r="P69" i="3"/>
  <c r="P15" i="3"/>
  <c r="Q15" i="3"/>
  <c r="Q38" i="3"/>
  <c r="P38" i="3"/>
  <c r="Q65" i="3"/>
  <c r="P65" i="3"/>
  <c r="Q92" i="3"/>
  <c r="P92" i="3"/>
  <c r="Q87" i="3"/>
  <c r="P87" i="3"/>
  <c r="P52" i="3"/>
  <c r="Q52" i="3"/>
  <c r="Q84" i="3"/>
  <c r="P84" i="3"/>
  <c r="N50" i="3"/>
  <c r="N79" i="3"/>
  <c r="N90" i="3"/>
  <c r="N85" i="3"/>
  <c r="N87" i="3"/>
  <c r="N60" i="3"/>
  <c r="P34" i="3"/>
  <c r="Q31" i="3"/>
  <c r="P31" i="3"/>
  <c r="P78" i="3"/>
  <c r="Q78" i="3"/>
  <c r="Q9" i="3"/>
  <c r="P9" i="3"/>
  <c r="Q32" i="3"/>
  <c r="P32" i="3"/>
  <c r="Q5" i="3"/>
  <c r="P5" i="3"/>
  <c r="P43" i="3"/>
  <c r="Q43" i="3"/>
  <c r="Q72" i="3"/>
  <c r="P72" i="3"/>
  <c r="P18" i="3"/>
  <c r="Q18" i="3"/>
  <c r="P13" i="3"/>
  <c r="Q59" i="3"/>
  <c r="P59" i="3"/>
  <c r="Q62" i="3"/>
  <c r="P62" i="3"/>
  <c r="Q41" i="3"/>
  <c r="P41" i="3"/>
  <c r="Q71" i="3"/>
  <c r="P71" i="3"/>
  <c r="P24" i="3"/>
  <c r="Q24" i="3"/>
  <c r="P42" i="3"/>
  <c r="Q42" i="3"/>
  <c r="Q53" i="3"/>
  <c r="P53" i="3"/>
  <c r="P86" i="3"/>
  <c r="Q86" i="3"/>
  <c r="P22" i="3"/>
  <c r="Q22" i="3"/>
  <c r="P49" i="3"/>
  <c r="Q28" i="3"/>
  <c r="P28" i="3"/>
  <c r="P19" i="3"/>
  <c r="Q19" i="3"/>
  <c r="P88" i="3"/>
  <c r="Q88" i="3"/>
  <c r="N61" i="3"/>
  <c r="N4" i="3"/>
  <c r="N15" i="3"/>
  <c r="N69" i="3"/>
  <c r="N34" i="3"/>
  <c r="N7" i="3"/>
  <c r="N45" i="3"/>
  <c r="N57" i="3"/>
  <c r="N16" i="3"/>
  <c r="N92" i="3"/>
  <c r="N37" i="3"/>
  <c r="N56" i="3"/>
  <c r="N84" i="3"/>
  <c r="N11" i="3"/>
  <c r="N81" i="3"/>
  <c r="N63" i="3"/>
  <c r="N89" i="3"/>
  <c r="N9" i="3"/>
  <c r="N55" i="3"/>
  <c r="N58" i="3"/>
  <c r="N22" i="3"/>
  <c r="P93" i="3"/>
  <c r="Q93" i="3"/>
  <c r="Q27" i="3"/>
  <c r="P27" i="3"/>
  <c r="Q46" i="3"/>
  <c r="P46" i="3"/>
  <c r="P39" i="3"/>
  <c r="Q39" i="3"/>
  <c r="P74" i="3"/>
  <c r="Q74" i="3"/>
  <c r="Q47" i="3"/>
  <c r="P47" i="3"/>
  <c r="Q75" i="3"/>
  <c r="P75" i="3"/>
  <c r="P80" i="3"/>
  <c r="Q80" i="3"/>
  <c r="Q77" i="3"/>
  <c r="P77" i="3"/>
  <c r="Q12" i="3"/>
  <c r="P12" i="3"/>
  <c r="Q36" i="3"/>
  <c r="P36" i="3"/>
  <c r="Q30" i="3"/>
  <c r="P30" i="3"/>
  <c r="P25" i="3"/>
  <c r="Q25" i="3"/>
  <c r="Q35" i="3"/>
  <c r="P35" i="3"/>
  <c r="P48" i="3"/>
  <c r="Q48" i="3"/>
  <c r="P26" i="3"/>
  <c r="Q26" i="3"/>
  <c r="P21" i="3"/>
  <c r="Q21" i="3"/>
  <c r="P70" i="3"/>
  <c r="Q70" i="3"/>
  <c r="P6" i="3"/>
  <c r="Q6" i="3"/>
  <c r="P33" i="3"/>
  <c r="Q33" i="3"/>
  <c r="P23" i="3"/>
  <c r="Q23" i="3"/>
  <c r="P51" i="3"/>
  <c r="Q51" i="3"/>
  <c r="Q40" i="3"/>
  <c r="P40" i="3"/>
  <c r="O50" i="1"/>
  <c r="O49" i="1"/>
  <c r="O48" i="1"/>
  <c r="O47" i="1"/>
  <c r="O46" i="1"/>
  <c r="O45" i="1"/>
  <c r="O44" i="1"/>
  <c r="O43" i="1"/>
  <c r="O42" i="1"/>
  <c r="O40" i="1"/>
  <c r="O39" i="1"/>
  <c r="O37" i="1"/>
  <c r="O36" i="1"/>
  <c r="O35" i="1"/>
  <c r="O34" i="1"/>
  <c r="O33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AE11" i="2"/>
  <c r="AD11" i="2"/>
  <c r="AC11" i="2"/>
  <c r="AA11" i="2"/>
  <c r="Z11" i="2"/>
  <c r="Y11" i="2"/>
  <c r="W11" i="2"/>
  <c r="V11" i="2"/>
  <c r="U11" i="2"/>
  <c r="AE10" i="2"/>
  <c r="AD10" i="2"/>
  <c r="AC10" i="2"/>
  <c r="AA10" i="2"/>
  <c r="Z10" i="2"/>
  <c r="Y10" i="2"/>
  <c r="W10" i="2"/>
  <c r="V10" i="2"/>
  <c r="U10" i="2"/>
  <c r="S10" i="2"/>
  <c r="R10" i="2"/>
  <c r="Q10" i="2"/>
  <c r="AE9" i="2"/>
  <c r="AD9" i="2"/>
  <c r="AC9" i="2"/>
  <c r="AA9" i="2"/>
  <c r="Z9" i="2"/>
  <c r="Y9" i="2"/>
  <c r="W9" i="2"/>
  <c r="V9" i="2"/>
  <c r="U9" i="2"/>
  <c r="S9" i="2"/>
  <c r="R9" i="2"/>
  <c r="Q9" i="2"/>
  <c r="AE8" i="2"/>
  <c r="AD8" i="2"/>
  <c r="AC8" i="2"/>
  <c r="AA8" i="2"/>
  <c r="Z8" i="2"/>
  <c r="Y8" i="2"/>
  <c r="W8" i="2"/>
  <c r="V8" i="2"/>
  <c r="U8" i="2"/>
  <c r="S8" i="2"/>
  <c r="R8" i="2"/>
  <c r="Q8" i="2"/>
  <c r="AE7" i="2"/>
  <c r="AD7" i="2"/>
  <c r="AC7" i="2"/>
  <c r="AA7" i="2"/>
  <c r="Z7" i="2"/>
  <c r="Y7" i="2"/>
  <c r="W7" i="2"/>
  <c r="V7" i="2"/>
  <c r="U7" i="2"/>
  <c r="S7" i="2"/>
  <c r="R7" i="2"/>
  <c r="Q7" i="2"/>
  <c r="AE6" i="2"/>
  <c r="AD6" i="2"/>
  <c r="AC6" i="2"/>
  <c r="AA6" i="2"/>
  <c r="Z6" i="2"/>
  <c r="Y6" i="2"/>
  <c r="W6" i="2"/>
  <c r="V6" i="2"/>
  <c r="U6" i="2"/>
  <c r="S6" i="2"/>
  <c r="R6" i="2"/>
  <c r="Q6" i="2"/>
  <c r="AE5" i="2"/>
  <c r="AD5" i="2"/>
  <c r="AC5" i="2"/>
  <c r="AA5" i="2"/>
  <c r="Z5" i="2"/>
  <c r="Y5" i="2"/>
  <c r="W5" i="2"/>
  <c r="V5" i="2"/>
  <c r="U5" i="2"/>
  <c r="S5" i="2"/>
  <c r="R5" i="2"/>
  <c r="Q5" i="2"/>
  <c r="AE4" i="2"/>
  <c r="AD4" i="2"/>
  <c r="AC4" i="2"/>
  <c r="AA4" i="2"/>
  <c r="Z4" i="2"/>
  <c r="Y4" i="2"/>
  <c r="W4" i="2"/>
  <c r="V4" i="2"/>
  <c r="U4" i="2"/>
  <c r="S4" i="2"/>
  <c r="R4" i="2"/>
  <c r="Q4" i="2"/>
  <c r="AE3" i="2"/>
  <c r="AD3" i="2"/>
  <c r="AC3" i="2"/>
  <c r="AA3" i="2"/>
  <c r="Z3" i="2"/>
  <c r="Y3" i="2"/>
  <c r="W3" i="2"/>
  <c r="V3" i="2"/>
  <c r="U3" i="2"/>
  <c r="S3" i="2"/>
  <c r="R3" i="2"/>
  <c r="Q3" i="2"/>
  <c r="S11" i="2"/>
  <c r="R11" i="2"/>
  <c r="Q11" i="2"/>
  <c r="D27" i="2"/>
  <c r="AN73" i="3" l="1"/>
  <c r="AQ73" i="3" s="1"/>
  <c r="AX57" i="3"/>
  <c r="AY94" i="3"/>
  <c r="AN69" i="3"/>
  <c r="AQ69" i="3" s="1"/>
  <c r="AY38" i="3"/>
  <c r="AY51" i="3"/>
  <c r="AX44" i="3"/>
  <c r="AY12" i="3"/>
  <c r="AY13" i="3"/>
  <c r="AN20" i="3"/>
  <c r="AQ20" i="3" s="1"/>
  <c r="AY80" i="3"/>
  <c r="AN47" i="3"/>
  <c r="AQ47" i="3" s="1"/>
  <c r="AX13" i="3"/>
  <c r="AY67" i="3"/>
  <c r="AX48" i="3"/>
  <c r="AY35" i="3"/>
  <c r="AY44" i="3"/>
  <c r="AX76" i="3"/>
  <c r="AN7" i="3"/>
  <c r="AP7" i="3" s="1"/>
  <c r="AN9" i="3"/>
  <c r="AQ9" i="3" s="1"/>
  <c r="AN27" i="3"/>
  <c r="AQ27" i="3" s="1"/>
  <c r="AN29" i="3"/>
  <c r="AQ29" i="3" s="1"/>
  <c r="AY76" i="3"/>
  <c r="AY83" i="3"/>
  <c r="AX51" i="3"/>
  <c r="AY16" i="3"/>
  <c r="AX35" i="3"/>
  <c r="AX92" i="3"/>
  <c r="AN91" i="3"/>
  <c r="AP91" i="3" s="1"/>
  <c r="AN5" i="3"/>
  <c r="AQ5" i="3" s="1"/>
  <c r="AN42" i="3"/>
  <c r="AQ42" i="3" s="1"/>
  <c r="AX38" i="3"/>
  <c r="AX80" i="3"/>
  <c r="AX94" i="3"/>
  <c r="AY92" i="3"/>
  <c r="AY57" i="3"/>
  <c r="AX12" i="3"/>
  <c r="AX67" i="3"/>
  <c r="AY48" i="3"/>
  <c r="AX83" i="3"/>
  <c r="AX16" i="3"/>
  <c r="AG6" i="1"/>
  <c r="AN6" i="3"/>
  <c r="AQ6" i="3" s="1"/>
  <c r="AN40" i="3"/>
  <c r="AP40" i="3" s="1"/>
  <c r="AN72" i="3"/>
  <c r="AP72" i="3" s="1"/>
  <c r="AN56" i="3"/>
  <c r="AP56" i="3" s="1"/>
  <c r="AN24" i="3"/>
  <c r="AP24" i="3" s="1"/>
  <c r="AN50" i="3"/>
  <c r="AQ50" i="3" s="1"/>
  <c r="AN10" i="3"/>
  <c r="AQ10" i="3" s="1"/>
  <c r="AE6" i="1"/>
  <c r="AF6" i="1"/>
  <c r="AN37" i="3"/>
  <c r="AQ37" i="3" s="1"/>
  <c r="AN81" i="3"/>
  <c r="AP81" i="3" s="1"/>
  <c r="AN32" i="3"/>
  <c r="AQ32" i="3" s="1"/>
  <c r="AN45" i="3"/>
  <c r="AQ45" i="3" s="1"/>
  <c r="AN93" i="3"/>
  <c r="AP93" i="3" s="1"/>
  <c r="AN95" i="3"/>
  <c r="AP95" i="3" s="1"/>
  <c r="AN85" i="3"/>
  <c r="AQ85" i="3" s="1"/>
  <c r="AN90" i="3"/>
  <c r="AP90" i="3" s="1"/>
  <c r="AN68" i="3"/>
  <c r="AP68" i="3" s="1"/>
  <c r="AN74" i="3"/>
  <c r="AQ74" i="3" s="1"/>
  <c r="AN82" i="3"/>
  <c r="AQ82" i="3" s="1"/>
  <c r="AN61" i="3"/>
  <c r="AQ61" i="3" s="1"/>
  <c r="AN79" i="3"/>
  <c r="AQ79" i="3" s="1"/>
  <c r="AN14" i="3"/>
  <c r="AQ14" i="3" s="1"/>
  <c r="AN63" i="3"/>
  <c r="AQ63" i="3" s="1"/>
  <c r="AN77" i="3"/>
  <c r="AP77" i="3" s="1"/>
  <c r="AN41" i="3"/>
  <c r="AQ41" i="3" s="1"/>
  <c r="AN53" i="3"/>
  <c r="AQ53" i="3" s="1"/>
  <c r="Q14" i="1"/>
  <c r="R14" i="1" s="1"/>
  <c r="AN60" i="3"/>
  <c r="AP60" i="3" s="1"/>
  <c r="AN8" i="3"/>
  <c r="AP8" i="3" s="1"/>
  <c r="AN21" i="3"/>
  <c r="AQ21" i="3" s="1"/>
  <c r="AN66" i="3"/>
  <c r="AP66" i="3" s="1"/>
  <c r="AN62" i="3"/>
  <c r="AQ62" i="3" s="1"/>
  <c r="AN30" i="3"/>
  <c r="AP30" i="3" s="1"/>
  <c r="AN55" i="3"/>
  <c r="AP55" i="3" s="1"/>
  <c r="AN46" i="3"/>
  <c r="AP46" i="3" s="1"/>
  <c r="AN18" i="3"/>
  <c r="AQ18" i="3" s="1"/>
  <c r="AN15" i="3"/>
  <c r="AQ15" i="3" s="1"/>
  <c r="AN34" i="3"/>
  <c r="AQ34" i="3" s="1"/>
  <c r="AN84" i="3"/>
  <c r="AP84" i="3" s="1"/>
  <c r="AN3" i="3"/>
  <c r="AY3" i="3" s="1"/>
  <c r="AN43" i="3"/>
  <c r="AP43" i="3" s="1"/>
  <c r="AN54" i="3"/>
  <c r="AQ54" i="3" s="1"/>
  <c r="AN39" i="3"/>
  <c r="AP39" i="3" s="1"/>
  <c r="AN70" i="3"/>
  <c r="AP70" i="3" s="1"/>
  <c r="AN26" i="3"/>
  <c r="AQ26" i="3" s="1"/>
  <c r="AN19" i="3"/>
  <c r="AQ19" i="3" s="1"/>
  <c r="AN86" i="3"/>
  <c r="AP86" i="3" s="1"/>
  <c r="AN25" i="3"/>
  <c r="AQ25" i="3" s="1"/>
  <c r="AN28" i="3"/>
  <c r="AQ28" i="3" s="1"/>
  <c r="AN65" i="3"/>
  <c r="AP65" i="3" s="1"/>
  <c r="AN36" i="3"/>
  <c r="AQ36" i="3" s="1"/>
  <c r="AP83" i="3"/>
  <c r="AR83" i="3" s="1"/>
  <c r="AN22" i="3"/>
  <c r="AP22" i="3" s="1"/>
  <c r="AN17" i="3"/>
  <c r="AP17" i="3" s="1"/>
  <c r="AN31" i="3"/>
  <c r="AP31" i="3" s="1"/>
  <c r="AN88" i="3"/>
  <c r="AP88" i="3" s="1"/>
  <c r="AN58" i="3"/>
  <c r="AQ58" i="3" s="1"/>
  <c r="AN89" i="3"/>
  <c r="AP89" i="3" s="1"/>
  <c r="AN4" i="3"/>
  <c r="AP4" i="3" s="1"/>
  <c r="AN52" i="3"/>
  <c r="AP52" i="3" s="1"/>
  <c r="AN33" i="3"/>
  <c r="AP33" i="3" s="1"/>
  <c r="Q5" i="1"/>
  <c r="R5" i="1" s="1"/>
  <c r="Q9" i="1"/>
  <c r="R9" i="1" s="1"/>
  <c r="Q26" i="1"/>
  <c r="R26" i="1" s="1"/>
  <c r="Q33" i="1"/>
  <c r="R33" i="1" s="1"/>
  <c r="Q17" i="1"/>
  <c r="R17" i="1" s="1"/>
  <c r="Q16" i="1"/>
  <c r="R16" i="1" s="1"/>
  <c r="Q4" i="1"/>
  <c r="R4" i="1" s="1"/>
  <c r="Q8" i="1"/>
  <c r="R8" i="1" s="1"/>
  <c r="Q30" i="1"/>
  <c r="R30" i="1" s="1"/>
  <c r="Q6" i="1"/>
  <c r="R6" i="1" s="1"/>
  <c r="Q10" i="1"/>
  <c r="R10" i="1" s="1"/>
  <c r="Q45" i="1"/>
  <c r="R45" i="1" s="1"/>
  <c r="Q39" i="1"/>
  <c r="R39" i="1" s="1"/>
  <c r="AN64" i="3"/>
  <c r="AQ64" i="3" s="1"/>
  <c r="AN59" i="3"/>
  <c r="AP59" i="3" s="1"/>
  <c r="Q21" i="1"/>
  <c r="R21" i="1" s="1"/>
  <c r="Q40" i="1"/>
  <c r="R40" i="1" s="1"/>
  <c r="Q47" i="1"/>
  <c r="R47" i="1" s="1"/>
  <c r="Q12" i="1"/>
  <c r="R12" i="1" s="1"/>
  <c r="Q28" i="1"/>
  <c r="R28" i="1" s="1"/>
  <c r="AP80" i="3"/>
  <c r="AT80" i="3" s="1"/>
  <c r="AP67" i="3"/>
  <c r="AR67" i="3" s="1"/>
  <c r="Q3" i="1"/>
  <c r="R3" i="1" s="1"/>
  <c r="Q7" i="1"/>
  <c r="R7" i="1" s="1"/>
  <c r="Q15" i="1"/>
  <c r="R15" i="1" s="1"/>
  <c r="Q27" i="1"/>
  <c r="R27" i="1" s="1"/>
  <c r="Q36" i="1"/>
  <c r="R36" i="1" s="1"/>
  <c r="Q42" i="1"/>
  <c r="R42" i="1" s="1"/>
  <c r="Q46" i="1"/>
  <c r="R46" i="1" s="1"/>
  <c r="Q50" i="1"/>
  <c r="R50" i="1" s="1"/>
  <c r="AQ13" i="3"/>
  <c r="AU13" i="3" s="1"/>
  <c r="AN23" i="3"/>
  <c r="AQ23" i="3" s="1"/>
  <c r="AN11" i="3"/>
  <c r="AP11" i="3" s="1"/>
  <c r="AN87" i="3"/>
  <c r="AQ87" i="3" s="1"/>
  <c r="AN75" i="3"/>
  <c r="AP75" i="3" s="1"/>
  <c r="AQ38" i="3"/>
  <c r="AU38" i="3" s="1"/>
  <c r="AP57" i="3"/>
  <c r="AR57" i="3" s="1"/>
  <c r="AN71" i="3"/>
  <c r="AP71" i="3" s="1"/>
  <c r="AN78" i="3"/>
  <c r="AY78" i="3" s="1"/>
  <c r="AP94" i="3"/>
  <c r="AR94" i="3" s="1"/>
  <c r="AP76" i="3"/>
  <c r="AU76" i="3" s="1"/>
  <c r="AP35" i="3"/>
  <c r="AR35" i="3" s="1"/>
  <c r="AN49" i="3"/>
  <c r="AY49" i="3" s="1"/>
  <c r="AQ51" i="3"/>
  <c r="AU51" i="3" s="1"/>
  <c r="AQ12" i="3"/>
  <c r="AQ92" i="3"/>
  <c r="AU92" i="3" s="1"/>
  <c r="AP48" i="3"/>
  <c r="AQ44" i="3"/>
  <c r="AU44" i="3" s="1"/>
  <c r="AQ16" i="3"/>
  <c r="AU16" i="3" s="1"/>
  <c r="E5" i="1"/>
  <c r="E5" i="2" s="1"/>
  <c r="D5" i="2"/>
  <c r="E9" i="1"/>
  <c r="E9" i="2" s="1"/>
  <c r="D9" i="2"/>
  <c r="E13" i="1"/>
  <c r="E13" i="2" s="1"/>
  <c r="D13" i="2"/>
  <c r="E17" i="1"/>
  <c r="E17" i="2" s="1"/>
  <c r="D17" i="2"/>
  <c r="E21" i="1"/>
  <c r="E21" i="2" s="1"/>
  <c r="D21" i="2"/>
  <c r="E25" i="1"/>
  <c r="E25" i="2" s="1"/>
  <c r="D25" i="2"/>
  <c r="E29" i="1"/>
  <c r="E29" i="2" s="1"/>
  <c r="D29" i="2"/>
  <c r="E34" i="1"/>
  <c r="E34" i="2" s="1"/>
  <c r="D34" i="2"/>
  <c r="E39" i="1"/>
  <c r="E39" i="2" s="1"/>
  <c r="D39" i="2"/>
  <c r="E44" i="1"/>
  <c r="E48" i="1"/>
  <c r="E6" i="1"/>
  <c r="E6" i="2" s="1"/>
  <c r="D6" i="2"/>
  <c r="E10" i="1"/>
  <c r="E10" i="2" s="1"/>
  <c r="D10" i="2"/>
  <c r="E14" i="1"/>
  <c r="E14" i="2" s="1"/>
  <c r="D14" i="2"/>
  <c r="E18" i="1"/>
  <c r="E18" i="2" s="1"/>
  <c r="D18" i="2"/>
  <c r="E22" i="1"/>
  <c r="E22" i="2" s="1"/>
  <c r="D22" i="2"/>
  <c r="E26" i="1"/>
  <c r="E26" i="2" s="1"/>
  <c r="D26" i="2"/>
  <c r="E30" i="1"/>
  <c r="E30" i="2" s="1"/>
  <c r="D30" i="2"/>
  <c r="E35" i="1"/>
  <c r="E35" i="2" s="1"/>
  <c r="D35" i="2"/>
  <c r="E40" i="1"/>
  <c r="E40" i="2" s="1"/>
  <c r="D40" i="2"/>
  <c r="E45" i="1"/>
  <c r="E49" i="1"/>
  <c r="E3" i="1"/>
  <c r="E3" i="2" s="1"/>
  <c r="D3" i="2"/>
  <c r="E7" i="1"/>
  <c r="E7" i="2" s="1"/>
  <c r="D7" i="2"/>
  <c r="E11" i="1"/>
  <c r="E11" i="2" s="1"/>
  <c r="D11" i="2"/>
  <c r="E15" i="1"/>
  <c r="E15" i="2" s="1"/>
  <c r="D15" i="2"/>
  <c r="E19" i="1"/>
  <c r="E19" i="2" s="1"/>
  <c r="D19" i="2"/>
  <c r="E23" i="1"/>
  <c r="E23" i="2" s="1"/>
  <c r="D23" i="2"/>
  <c r="E31" i="1"/>
  <c r="E31" i="2" s="1"/>
  <c r="D31" i="2"/>
  <c r="E36" i="1"/>
  <c r="E36" i="2" s="1"/>
  <c r="D36" i="2"/>
  <c r="E42" i="1"/>
  <c r="E42" i="2" s="1"/>
  <c r="D42" i="2"/>
  <c r="E46" i="1"/>
  <c r="E50" i="1"/>
  <c r="E4" i="1"/>
  <c r="E4" i="2" s="1"/>
  <c r="D4" i="2"/>
  <c r="E8" i="1"/>
  <c r="E8" i="2" s="1"/>
  <c r="D8" i="2"/>
  <c r="E12" i="1"/>
  <c r="E12" i="2" s="1"/>
  <c r="D12" i="2"/>
  <c r="E16" i="1"/>
  <c r="E16" i="2" s="1"/>
  <c r="D16" i="2"/>
  <c r="E20" i="1"/>
  <c r="E20" i="2" s="1"/>
  <c r="D20" i="2"/>
  <c r="E24" i="1"/>
  <c r="E24" i="2" s="1"/>
  <c r="D24" i="2"/>
  <c r="E28" i="1"/>
  <c r="E28" i="2" s="1"/>
  <c r="D28" i="2"/>
  <c r="E33" i="1"/>
  <c r="E33" i="2" s="1"/>
  <c r="D33" i="2"/>
  <c r="E37" i="1"/>
  <c r="E37" i="2" s="1"/>
  <c r="D37" i="2"/>
  <c r="E43" i="1"/>
  <c r="E43" i="2" s="1"/>
  <c r="D43" i="2"/>
  <c r="E47" i="1"/>
  <c r="N97" i="3"/>
  <c r="P12" i="1"/>
  <c r="P28" i="1"/>
  <c r="P47" i="1"/>
  <c r="P16" i="1"/>
  <c r="P33" i="1"/>
  <c r="P4" i="1"/>
  <c r="P20" i="1"/>
  <c r="P37" i="1"/>
  <c r="P8" i="1"/>
  <c r="P24" i="1"/>
  <c r="P43" i="1"/>
  <c r="P6" i="1"/>
  <c r="P10" i="1"/>
  <c r="P14" i="1"/>
  <c r="P18" i="1"/>
  <c r="P22" i="1"/>
  <c r="P26" i="1"/>
  <c r="P30" i="1"/>
  <c r="P35" i="1"/>
  <c r="P40" i="1"/>
  <c r="P45" i="1"/>
  <c r="P49" i="1"/>
  <c r="P3" i="1"/>
  <c r="P5" i="1"/>
  <c r="P7" i="1"/>
  <c r="P9" i="1"/>
  <c r="P11" i="1"/>
  <c r="P13" i="1"/>
  <c r="P15" i="1"/>
  <c r="P17" i="1"/>
  <c r="P19" i="1"/>
  <c r="P21" i="1"/>
  <c r="P23" i="1"/>
  <c r="P25" i="1"/>
  <c r="P29" i="1"/>
  <c r="P31" i="1"/>
  <c r="P34" i="1"/>
  <c r="P36" i="1"/>
  <c r="P39" i="1"/>
  <c r="P42" i="1"/>
  <c r="P44" i="1"/>
  <c r="P46" i="1"/>
  <c r="P48" i="1"/>
  <c r="P50" i="1"/>
  <c r="AP5" i="3" l="1"/>
  <c r="AU5" i="3" s="1"/>
  <c r="AP73" i="3"/>
  <c r="AR73" i="3" s="1"/>
  <c r="AQ91" i="3"/>
  <c r="AU91" i="3" s="1"/>
  <c r="AX47" i="3"/>
  <c r="AP42" i="3"/>
  <c r="AU42" i="3" s="1"/>
  <c r="AY5" i="3"/>
  <c r="AP69" i="3"/>
  <c r="AU69" i="3" s="1"/>
  <c r="AX9" i="3"/>
  <c r="AP47" i="3"/>
  <c r="AU47" i="3" s="1"/>
  <c r="AP9" i="3"/>
  <c r="AT9" i="3" s="1"/>
  <c r="R9" i="3" s="1"/>
  <c r="S9" i="3" s="1"/>
  <c r="BB16" i="3"/>
  <c r="BD16" i="3" s="1"/>
  <c r="BB12" i="3"/>
  <c r="BD12" i="3" s="1"/>
  <c r="AX5" i="3"/>
  <c r="AQ7" i="3"/>
  <c r="AU7" i="3" s="1"/>
  <c r="BB80" i="3"/>
  <c r="BD80" i="3" s="1"/>
  <c r="AY9" i="3"/>
  <c r="BC9" i="3" s="1"/>
  <c r="AY73" i="3"/>
  <c r="AP6" i="3"/>
  <c r="AU6" i="3" s="1"/>
  <c r="AP20" i="3"/>
  <c r="AR20" i="3" s="1"/>
  <c r="AY42" i="3"/>
  <c r="AY27" i="3"/>
  <c r="AX73" i="3"/>
  <c r="BC57" i="3"/>
  <c r="AP27" i="3"/>
  <c r="AU27" i="3" s="1"/>
  <c r="AP29" i="3"/>
  <c r="AR29" i="3" s="1"/>
  <c r="AY29" i="3"/>
  <c r="AX27" i="3"/>
  <c r="AZ48" i="3"/>
  <c r="BC48" i="3"/>
  <c r="AZ92" i="3"/>
  <c r="BC92" i="3"/>
  <c r="AY10" i="3"/>
  <c r="AY63" i="3"/>
  <c r="AX53" i="3"/>
  <c r="AY56" i="3"/>
  <c r="AX31" i="3"/>
  <c r="AX25" i="3"/>
  <c r="AX64" i="3"/>
  <c r="AX78" i="3"/>
  <c r="BC78" i="3" s="1"/>
  <c r="BB92" i="3"/>
  <c r="BD92" i="3" s="1"/>
  <c r="BC83" i="3"/>
  <c r="AX85" i="3"/>
  <c r="AX86" i="3"/>
  <c r="AX88" i="3"/>
  <c r="AX7" i="3"/>
  <c r="BB76" i="3"/>
  <c r="BD76" i="3" s="1"/>
  <c r="BC67" i="3"/>
  <c r="AY50" i="3"/>
  <c r="AY81" i="3"/>
  <c r="AZ80" i="3"/>
  <c r="BC80" i="3"/>
  <c r="AX14" i="3"/>
  <c r="AX40" i="3"/>
  <c r="AX54" i="3"/>
  <c r="AX11" i="3"/>
  <c r="AY8" i="3"/>
  <c r="BC13" i="3"/>
  <c r="BC38" i="3"/>
  <c r="AY69" i="3"/>
  <c r="AY24" i="3"/>
  <c r="BB57" i="3"/>
  <c r="BD57" i="3" s="1"/>
  <c r="AZ57" i="3"/>
  <c r="AY34" i="3"/>
  <c r="AY95" i="3"/>
  <c r="AX84" i="3"/>
  <c r="AX72" i="3"/>
  <c r="AY93" i="3"/>
  <c r="AY17" i="3"/>
  <c r="AY52" i="3"/>
  <c r="AY85" i="3"/>
  <c r="BC85" i="3" s="1"/>
  <c r="AX91" i="3"/>
  <c r="AX43" i="3"/>
  <c r="AX82" i="3"/>
  <c r="AY79" i="3"/>
  <c r="AY65" i="3"/>
  <c r="AY70" i="3"/>
  <c r="AZ67" i="3"/>
  <c r="BB67" i="3"/>
  <c r="BD67" i="3" s="1"/>
  <c r="AZ94" i="3"/>
  <c r="BB94" i="3"/>
  <c r="BD94" i="3" s="1"/>
  <c r="AX70" i="3"/>
  <c r="AY86" i="3"/>
  <c r="AX59" i="3"/>
  <c r="AX52" i="3"/>
  <c r="AY4" i="3"/>
  <c r="AZ35" i="3"/>
  <c r="BB35" i="3"/>
  <c r="BD35" i="3" s="1"/>
  <c r="AZ76" i="3"/>
  <c r="BC76" i="3"/>
  <c r="AY66" i="3"/>
  <c r="AX75" i="3"/>
  <c r="AZ44" i="3"/>
  <c r="BC44" i="3"/>
  <c r="BB13" i="3"/>
  <c r="BD13" i="3" s="1"/>
  <c r="AZ13" i="3"/>
  <c r="AX37" i="3"/>
  <c r="AX90" i="3"/>
  <c r="AY77" i="3"/>
  <c r="AP3" i="3"/>
  <c r="AX60" i="3"/>
  <c r="AY18" i="3"/>
  <c r="AX17" i="3"/>
  <c r="AY88" i="3"/>
  <c r="AZ12" i="3"/>
  <c r="BC12" i="3"/>
  <c r="AX6" i="3"/>
  <c r="AX45" i="3"/>
  <c r="AY43" i="3"/>
  <c r="AY75" i="3"/>
  <c r="AX15" i="3"/>
  <c r="AX71" i="3"/>
  <c r="AX62" i="3"/>
  <c r="AY31" i="3"/>
  <c r="AY15" i="3"/>
  <c r="BC15" i="3" s="1"/>
  <c r="AX10" i="3"/>
  <c r="AX81" i="3"/>
  <c r="AX18" i="3"/>
  <c r="AY14" i="3"/>
  <c r="AY58" i="3"/>
  <c r="AY6" i="3"/>
  <c r="AX41" i="3"/>
  <c r="AY74" i="3"/>
  <c r="AX19" i="3"/>
  <c r="AX39" i="3"/>
  <c r="AX61" i="3"/>
  <c r="AX42" i="3"/>
  <c r="AY84" i="3"/>
  <c r="AY91" i="3"/>
  <c r="AX33" i="3"/>
  <c r="AY33" i="3"/>
  <c r="AX89" i="3"/>
  <c r="AZ16" i="3"/>
  <c r="BC16" i="3"/>
  <c r="AX77" i="3"/>
  <c r="AY19" i="3"/>
  <c r="BC19" i="3" s="1"/>
  <c r="AX26" i="3"/>
  <c r="AY25" i="3"/>
  <c r="AY22" i="3"/>
  <c r="BC35" i="3"/>
  <c r="AY47" i="3"/>
  <c r="BC47" i="3" s="1"/>
  <c r="AX93" i="3"/>
  <c r="AX74" i="3"/>
  <c r="AX21" i="3"/>
  <c r="AX3" i="3"/>
  <c r="AY64" i="3"/>
  <c r="AY20" i="3"/>
  <c r="AY39" i="3"/>
  <c r="AX87" i="3"/>
  <c r="BB44" i="3"/>
  <c r="BD44" i="3" s="1"/>
  <c r="AX95" i="3"/>
  <c r="AX63" i="3"/>
  <c r="AY32" i="3"/>
  <c r="AX55" i="3"/>
  <c r="AX65" i="3"/>
  <c r="AX49" i="3"/>
  <c r="AY45" i="3"/>
  <c r="AX20" i="3"/>
  <c r="AY40" i="3"/>
  <c r="AY21" i="3"/>
  <c r="BC21" i="3" s="1"/>
  <c r="AX36" i="3"/>
  <c r="AX46" i="3"/>
  <c r="AY55" i="3"/>
  <c r="AY71" i="3"/>
  <c r="BC71" i="3" s="1"/>
  <c r="AY61" i="3"/>
  <c r="AY53" i="3"/>
  <c r="AY7" i="3"/>
  <c r="AX28" i="3"/>
  <c r="AX4" i="3"/>
  <c r="BB4" i="3" s="1"/>
  <c r="BD4" i="3" s="1"/>
  <c r="R80" i="3"/>
  <c r="S80" i="3" s="1"/>
  <c r="AV80" i="3"/>
  <c r="AZ83" i="3"/>
  <c r="BB83" i="3"/>
  <c r="BD83" i="3" s="1"/>
  <c r="AZ38" i="3"/>
  <c r="BB38" i="3"/>
  <c r="BD38" i="3" s="1"/>
  <c r="AY60" i="3"/>
  <c r="AX79" i="3"/>
  <c r="AY41" i="3"/>
  <c r="AY62" i="3"/>
  <c r="AY11" i="3"/>
  <c r="AY23" i="3"/>
  <c r="AZ51" i="3"/>
  <c r="BB51" i="3"/>
  <c r="BD51" i="3" s="1"/>
  <c r="AX30" i="3"/>
  <c r="AY68" i="3"/>
  <c r="AX58" i="3"/>
  <c r="AY54" i="3"/>
  <c r="AY72" i="3"/>
  <c r="BB48" i="3"/>
  <c r="BD48" i="3" s="1"/>
  <c r="AY82" i="3"/>
  <c r="AX32" i="3"/>
  <c r="AY46" i="3"/>
  <c r="AY26" i="3"/>
  <c r="AX34" i="3"/>
  <c r="AY87" i="3"/>
  <c r="AX24" i="3"/>
  <c r="BC51" i="3"/>
  <c r="AX68" i="3"/>
  <c r="BC94" i="3"/>
  <c r="AX8" i="3"/>
  <c r="AY36" i="3"/>
  <c r="AY28" i="3"/>
  <c r="AX23" i="3"/>
  <c r="AX66" i="3"/>
  <c r="AY89" i="3"/>
  <c r="AX69" i="3"/>
  <c r="AY90" i="3"/>
  <c r="AY30" i="3"/>
  <c r="AX56" i="3"/>
  <c r="AX29" i="3"/>
  <c r="AY37" i="3"/>
  <c r="AX50" i="3"/>
  <c r="AX22" i="3"/>
  <c r="AY59" i="3"/>
  <c r="AQ56" i="3"/>
  <c r="AU56" i="3" s="1"/>
  <c r="AQ72" i="3"/>
  <c r="AR72" i="3" s="1"/>
  <c r="AQ40" i="3"/>
  <c r="AR40" i="3" s="1"/>
  <c r="AP10" i="3"/>
  <c r="AU10" i="3" s="1"/>
  <c r="AP34" i="3"/>
  <c r="AT34" i="3" s="1"/>
  <c r="AQ24" i="3"/>
  <c r="AR24" i="3" s="1"/>
  <c r="AP45" i="3"/>
  <c r="AU45" i="3" s="1"/>
  <c r="AP50" i="3"/>
  <c r="AT50" i="3" s="1"/>
  <c r="AP37" i="3"/>
  <c r="AU37" i="3" s="1"/>
  <c r="T31" i="1"/>
  <c r="T23" i="1"/>
  <c r="T19" i="1"/>
  <c r="T11" i="1"/>
  <c r="T24" i="1"/>
  <c r="T20" i="1"/>
  <c r="T13" i="1"/>
  <c r="T34" i="1"/>
  <c r="T25" i="1"/>
  <c r="T29" i="1"/>
  <c r="T22" i="1"/>
  <c r="T18" i="1"/>
  <c r="S34" i="1"/>
  <c r="S22" i="1"/>
  <c r="S18" i="1"/>
  <c r="S31" i="1"/>
  <c r="S23" i="1"/>
  <c r="S29" i="1"/>
  <c r="S24" i="1"/>
  <c r="S19" i="1"/>
  <c r="S13" i="1"/>
  <c r="S25" i="1"/>
  <c r="S20" i="1"/>
  <c r="S11" i="1"/>
  <c r="Q11" i="1" s="1"/>
  <c r="R11" i="1" s="1"/>
  <c r="U24" i="1"/>
  <c r="U20" i="1"/>
  <c r="U29" i="1"/>
  <c r="U25" i="1"/>
  <c r="U19" i="1"/>
  <c r="U13" i="1"/>
  <c r="U34" i="1"/>
  <c r="U23" i="1"/>
  <c r="U22" i="1"/>
  <c r="U18" i="1"/>
  <c r="U11" i="1"/>
  <c r="U31" i="1"/>
  <c r="AQ95" i="3"/>
  <c r="AT95" i="3" s="1"/>
  <c r="AP61" i="3"/>
  <c r="AT61" i="3" s="1"/>
  <c r="AQ81" i="3"/>
  <c r="AU81" i="3" s="1"/>
  <c r="AP32" i="3"/>
  <c r="AT32" i="3" s="1"/>
  <c r="AQ93" i="3"/>
  <c r="AU93" i="3" s="1"/>
  <c r="AP85" i="3"/>
  <c r="AR85" i="3" s="1"/>
  <c r="AQ68" i="3"/>
  <c r="AU68" i="3" s="1"/>
  <c r="AQ90" i="3"/>
  <c r="AU90" i="3" s="1"/>
  <c r="AP79" i="3"/>
  <c r="AT79" i="3" s="1"/>
  <c r="AP14" i="3"/>
  <c r="AR14" i="3" s="1"/>
  <c r="AP21" i="3"/>
  <c r="AT21" i="3" s="1"/>
  <c r="AR34" i="3"/>
  <c r="AP74" i="3"/>
  <c r="AU74" i="3" s="1"/>
  <c r="AP82" i="3"/>
  <c r="AR82" i="3" s="1"/>
  <c r="AP41" i="3"/>
  <c r="AU41" i="3" s="1"/>
  <c r="AP63" i="3"/>
  <c r="AR63" i="3" s="1"/>
  <c r="AQ60" i="3"/>
  <c r="AR60" i="3" s="1"/>
  <c r="AP53" i="3"/>
  <c r="AU53" i="3" s="1"/>
  <c r="AP62" i="3"/>
  <c r="AU62" i="3" s="1"/>
  <c r="AQ66" i="3"/>
  <c r="AU66" i="3" s="1"/>
  <c r="AQ77" i="3"/>
  <c r="AR77" i="3" s="1"/>
  <c r="AP36" i="3"/>
  <c r="AT36" i="3" s="1"/>
  <c r="AQ8" i="3"/>
  <c r="AU8" i="3" s="1"/>
  <c r="AQ30" i="3"/>
  <c r="AU30" i="3" s="1"/>
  <c r="AQ65" i="3"/>
  <c r="AT65" i="3" s="1"/>
  <c r="AQ84" i="3"/>
  <c r="AU84" i="3" s="1"/>
  <c r="AQ55" i="3"/>
  <c r="AU55" i="3" s="1"/>
  <c r="AQ46" i="3"/>
  <c r="AU46" i="3" s="1"/>
  <c r="AP15" i="3"/>
  <c r="AT15" i="3" s="1"/>
  <c r="AP18" i="3"/>
  <c r="AR18" i="3" s="1"/>
  <c r="AQ3" i="3"/>
  <c r="AQ43" i="3"/>
  <c r="AU43" i="3" s="1"/>
  <c r="AP26" i="3"/>
  <c r="AU26" i="3" s="1"/>
  <c r="AP19" i="3"/>
  <c r="AU19" i="3" s="1"/>
  <c r="AQ39" i="3"/>
  <c r="AU39" i="3" s="1"/>
  <c r="AQ70" i="3"/>
  <c r="AU70" i="3" s="1"/>
  <c r="AQ86" i="3"/>
  <c r="AU86" i="3" s="1"/>
  <c r="AR80" i="3"/>
  <c r="AP54" i="3"/>
  <c r="AT54" i="3" s="1"/>
  <c r="AQ59" i="3"/>
  <c r="AR59" i="3" s="1"/>
  <c r="AQ88" i="3"/>
  <c r="AR88" i="3" s="1"/>
  <c r="AT35" i="3"/>
  <c r="AT13" i="3"/>
  <c r="AP28" i="3"/>
  <c r="AR28" i="3" s="1"/>
  <c r="AU35" i="3"/>
  <c r="AT83" i="3"/>
  <c r="AP25" i="3"/>
  <c r="AQ31" i="3"/>
  <c r="AU31" i="3" s="1"/>
  <c r="AU83" i="3"/>
  <c r="AQ11" i="3"/>
  <c r="AT11" i="3" s="1"/>
  <c r="AP23" i="3"/>
  <c r="AT23" i="3" s="1"/>
  <c r="AQ52" i="3"/>
  <c r="AP58" i="3"/>
  <c r="AU58" i="3" s="1"/>
  <c r="AU80" i="3"/>
  <c r="AQ17" i="3"/>
  <c r="AU17" i="3" s="1"/>
  <c r="AQ75" i="3"/>
  <c r="AU75" i="3" s="1"/>
  <c r="AQ4" i="3"/>
  <c r="AU4" i="3" s="1"/>
  <c r="AQ22" i="3"/>
  <c r="AU22" i="3" s="1"/>
  <c r="AQ89" i="3"/>
  <c r="AR89" i="3" s="1"/>
  <c r="AT67" i="3"/>
  <c r="AQ33" i="3"/>
  <c r="AT33" i="3" s="1"/>
  <c r="AR13" i="3"/>
  <c r="AR38" i="3"/>
  <c r="AU67" i="3"/>
  <c r="AT38" i="3"/>
  <c r="AP64" i="3"/>
  <c r="AP87" i="3"/>
  <c r="AT87" i="3" s="1"/>
  <c r="AT94" i="3"/>
  <c r="AT76" i="3"/>
  <c r="AR76" i="3"/>
  <c r="AU94" i="3"/>
  <c r="AP78" i="3"/>
  <c r="AQ78" i="3"/>
  <c r="AT57" i="3"/>
  <c r="AQ71" i="3"/>
  <c r="AU71" i="3" s="1"/>
  <c r="AU57" i="3"/>
  <c r="AT44" i="3"/>
  <c r="AT51" i="3"/>
  <c r="AP49" i="3"/>
  <c r="AQ49" i="3"/>
  <c r="AR16" i="3"/>
  <c r="AR44" i="3"/>
  <c r="AT92" i="3"/>
  <c r="AR92" i="3"/>
  <c r="AR42" i="3"/>
  <c r="AT12" i="3"/>
  <c r="AU12" i="3"/>
  <c r="AU48" i="3"/>
  <c r="AT48" i="3"/>
  <c r="AR48" i="3"/>
  <c r="AT16" i="3"/>
  <c r="AR5" i="3"/>
  <c r="AR12" i="3"/>
  <c r="AR51" i="3"/>
  <c r="F35" i="1"/>
  <c r="K35" i="1"/>
  <c r="K35" i="2" s="1"/>
  <c r="C27" i="1"/>
  <c r="C27" i="2" s="1"/>
  <c r="F29" i="1"/>
  <c r="K29" i="1"/>
  <c r="K29" i="2" s="1"/>
  <c r="F31" i="1"/>
  <c r="K31" i="1"/>
  <c r="K31" i="2" s="1"/>
  <c r="F34" i="1"/>
  <c r="K34" i="1"/>
  <c r="K34" i="2" s="1"/>
  <c r="F33" i="1"/>
  <c r="K33" i="1"/>
  <c r="K33" i="2" s="1"/>
  <c r="F37" i="1"/>
  <c r="F37" i="2" s="1"/>
  <c r="K37" i="1"/>
  <c r="K37" i="2" s="1"/>
  <c r="F36" i="1"/>
  <c r="K36" i="1"/>
  <c r="K36" i="2" s="1"/>
  <c r="F39" i="1"/>
  <c r="K39" i="1"/>
  <c r="K39" i="2" s="1"/>
  <c r="BC89" i="3" l="1"/>
  <c r="BC45" i="3"/>
  <c r="BB9" i="3"/>
  <c r="BD9" i="3" s="1"/>
  <c r="AT5" i="3"/>
  <c r="R5" i="3" s="1"/>
  <c r="S5" i="3" s="1"/>
  <c r="AT47" i="3"/>
  <c r="BC14" i="3"/>
  <c r="BB5" i="3"/>
  <c r="BD5" i="3" s="1"/>
  <c r="AR91" i="3"/>
  <c r="AT6" i="3"/>
  <c r="AV6" i="3" s="1"/>
  <c r="AT91" i="3"/>
  <c r="R91" i="3" s="1"/>
  <c r="S91" i="3" s="1"/>
  <c r="AZ9" i="3"/>
  <c r="AU73" i="3"/>
  <c r="BB52" i="3"/>
  <c r="BD52" i="3" s="1"/>
  <c r="AT73" i="3"/>
  <c r="R73" i="3" s="1"/>
  <c r="S73" i="3" s="1"/>
  <c r="BC31" i="3"/>
  <c r="BC91" i="3"/>
  <c r="BC86" i="3"/>
  <c r="BB56" i="3"/>
  <c r="BD56" i="3" s="1"/>
  <c r="AR56" i="3"/>
  <c r="AR37" i="3"/>
  <c r="AU3" i="3"/>
  <c r="AR6" i="3"/>
  <c r="AT42" i="3"/>
  <c r="AV42" i="3" s="1"/>
  <c r="AU20" i="3"/>
  <c r="AU9" i="3"/>
  <c r="BC29" i="3"/>
  <c r="BC75" i="3"/>
  <c r="BC25" i="3"/>
  <c r="AT7" i="3"/>
  <c r="AV7" i="3" s="1"/>
  <c r="AR69" i="3"/>
  <c r="AR9" i="3"/>
  <c r="AT20" i="3"/>
  <c r="R20" i="3" s="1"/>
  <c r="S20" i="3" s="1"/>
  <c r="BC43" i="3"/>
  <c r="AV9" i="3"/>
  <c r="BC27" i="3"/>
  <c r="BC73" i="3"/>
  <c r="BC5" i="3"/>
  <c r="AT69" i="3"/>
  <c r="R69" i="3" s="1"/>
  <c r="S69" i="3" s="1"/>
  <c r="AR7" i="3"/>
  <c r="BC11" i="3"/>
  <c r="AR47" i="3"/>
  <c r="BB20" i="3"/>
  <c r="BD20" i="3" s="1"/>
  <c r="AZ5" i="3"/>
  <c r="AT27" i="3"/>
  <c r="AV27" i="3" s="1"/>
  <c r="BC61" i="3"/>
  <c r="BC6" i="3"/>
  <c r="BB8" i="3"/>
  <c r="BD8" i="3" s="1"/>
  <c r="BB24" i="3"/>
  <c r="BD24" i="3" s="1"/>
  <c r="BC46" i="3"/>
  <c r="AZ73" i="3"/>
  <c r="BC87" i="3"/>
  <c r="BB32" i="3"/>
  <c r="BD32" i="3" s="1"/>
  <c r="BC54" i="3"/>
  <c r="AZ27" i="3"/>
  <c r="AT29" i="3"/>
  <c r="AV29" i="3" s="1"/>
  <c r="BC30" i="3"/>
  <c r="BB73" i="3"/>
  <c r="BD73" i="3" s="1"/>
  <c r="BC82" i="3"/>
  <c r="BB68" i="3"/>
  <c r="BD68" i="3" s="1"/>
  <c r="AR27" i="3"/>
  <c r="AU29" i="3"/>
  <c r="BC37" i="3"/>
  <c r="BC90" i="3"/>
  <c r="BC26" i="3"/>
  <c r="BB27" i="3"/>
  <c r="BD27" i="3" s="1"/>
  <c r="BC62" i="3"/>
  <c r="BC7" i="3"/>
  <c r="BC55" i="3"/>
  <c r="BC39" i="3"/>
  <c r="BC59" i="3"/>
  <c r="BC41" i="3"/>
  <c r="BC53" i="3"/>
  <c r="BC42" i="3"/>
  <c r="R16" i="3"/>
  <c r="S16" i="3" s="1"/>
  <c r="AV16" i="3"/>
  <c r="R27" i="3"/>
  <c r="S27" i="3" s="1"/>
  <c r="R76" i="3"/>
  <c r="S76" i="3" s="1"/>
  <c r="AV76" i="3"/>
  <c r="R38" i="3"/>
  <c r="S38" i="3" s="1"/>
  <c r="AV38" i="3"/>
  <c r="R83" i="3"/>
  <c r="S83" i="3" s="1"/>
  <c r="AV83" i="3"/>
  <c r="R35" i="3"/>
  <c r="S35" i="3" s="1"/>
  <c r="AV35" i="3"/>
  <c r="R32" i="3"/>
  <c r="S32" i="3" s="1"/>
  <c r="AV32" i="3"/>
  <c r="R34" i="3"/>
  <c r="S34" i="3" s="1"/>
  <c r="AV34" i="3"/>
  <c r="AZ50" i="3"/>
  <c r="BB50" i="3"/>
  <c r="BD50" i="3" s="1"/>
  <c r="AZ66" i="3"/>
  <c r="BB66" i="3"/>
  <c r="BD66" i="3" s="1"/>
  <c r="AZ34" i="3"/>
  <c r="BB34" i="3"/>
  <c r="BD34" i="3" s="1"/>
  <c r="AZ58" i="3"/>
  <c r="BB58" i="3"/>
  <c r="BD58" i="3" s="1"/>
  <c r="AZ30" i="3"/>
  <c r="BB30" i="3"/>
  <c r="BD30" i="3" s="1"/>
  <c r="BC23" i="3"/>
  <c r="AZ79" i="3"/>
  <c r="BB79" i="3"/>
  <c r="BD79" i="3" s="1"/>
  <c r="AZ46" i="3"/>
  <c r="BB46" i="3"/>
  <c r="BD46" i="3" s="1"/>
  <c r="AZ95" i="3"/>
  <c r="BB95" i="3"/>
  <c r="BD95" i="3" s="1"/>
  <c r="AZ20" i="3"/>
  <c r="BC20" i="3"/>
  <c r="AZ74" i="3"/>
  <c r="BB74" i="3"/>
  <c r="BD74" i="3" s="1"/>
  <c r="BC22" i="3"/>
  <c r="BB77" i="3"/>
  <c r="BD77" i="3" s="1"/>
  <c r="AZ77" i="3"/>
  <c r="AZ39" i="3"/>
  <c r="BB39" i="3"/>
  <c r="BD39" i="3" s="1"/>
  <c r="BB81" i="3"/>
  <c r="BD81" i="3" s="1"/>
  <c r="AZ81" i="3"/>
  <c r="AZ62" i="3"/>
  <c r="BB62" i="3"/>
  <c r="BD62" i="3" s="1"/>
  <c r="BB60" i="3"/>
  <c r="BD60" i="3" s="1"/>
  <c r="BB37" i="3"/>
  <c r="BD37" i="3" s="1"/>
  <c r="AZ37" i="3"/>
  <c r="AZ59" i="3"/>
  <c r="BB59" i="3"/>
  <c r="BD59" i="3" s="1"/>
  <c r="BC79" i="3"/>
  <c r="BB72" i="3"/>
  <c r="BD72" i="3" s="1"/>
  <c r="AZ54" i="3"/>
  <c r="BB54" i="3"/>
  <c r="BD54" i="3" s="1"/>
  <c r="BB85" i="3"/>
  <c r="BD85" i="3" s="1"/>
  <c r="AZ85" i="3"/>
  <c r="BB64" i="3"/>
  <c r="BD64" i="3" s="1"/>
  <c r="BB53" i="3"/>
  <c r="BD53" i="3" s="1"/>
  <c r="AZ53" i="3"/>
  <c r="R51" i="3"/>
  <c r="S51" i="3" s="1"/>
  <c r="AV51" i="3"/>
  <c r="R94" i="3"/>
  <c r="S94" i="3" s="1"/>
  <c r="AV94" i="3"/>
  <c r="R67" i="3"/>
  <c r="S67" i="3" s="1"/>
  <c r="AV67" i="3"/>
  <c r="R21" i="3"/>
  <c r="S21" i="3" s="1"/>
  <c r="AV21" i="3"/>
  <c r="R50" i="3"/>
  <c r="S50" i="3" s="1"/>
  <c r="AV50" i="3"/>
  <c r="AZ23" i="3"/>
  <c r="BB23" i="3"/>
  <c r="BD23" i="3" s="1"/>
  <c r="AZ36" i="3"/>
  <c r="BC36" i="3"/>
  <c r="AZ60" i="3"/>
  <c r="BC60" i="3"/>
  <c r="BB36" i="3"/>
  <c r="BD36" i="3" s="1"/>
  <c r="AZ55" i="3"/>
  <c r="BB55" i="3"/>
  <c r="BD55" i="3" s="1"/>
  <c r="AZ64" i="3"/>
  <c r="BC64" i="3"/>
  <c r="BB93" i="3"/>
  <c r="BD93" i="3" s="1"/>
  <c r="AZ93" i="3"/>
  <c r="BB47" i="3"/>
  <c r="BD47" i="3" s="1"/>
  <c r="BB89" i="3"/>
  <c r="BD89" i="3" s="1"/>
  <c r="AZ89" i="3"/>
  <c r="AZ84" i="3"/>
  <c r="BC84" i="3"/>
  <c r="AZ19" i="3"/>
  <c r="BB19" i="3"/>
  <c r="BD19" i="3" s="1"/>
  <c r="BC58" i="3"/>
  <c r="AZ10" i="3"/>
  <c r="BB10" i="3"/>
  <c r="BD10" i="3" s="1"/>
  <c r="AZ71" i="3"/>
  <c r="BB71" i="3"/>
  <c r="BD71" i="3" s="1"/>
  <c r="BB45" i="3"/>
  <c r="BD45" i="3" s="1"/>
  <c r="AZ45" i="3"/>
  <c r="AZ88" i="3"/>
  <c r="BC88" i="3"/>
  <c r="AZ75" i="3"/>
  <c r="BB75" i="3"/>
  <c r="BD75" i="3" s="1"/>
  <c r="BC66" i="3"/>
  <c r="AZ82" i="3"/>
  <c r="BB82" i="3"/>
  <c r="BD82" i="3" s="1"/>
  <c r="AZ52" i="3"/>
  <c r="BC52" i="3"/>
  <c r="BB84" i="3"/>
  <c r="BD84" i="3" s="1"/>
  <c r="BB40" i="3"/>
  <c r="BD40" i="3" s="1"/>
  <c r="BC81" i="3"/>
  <c r="AZ7" i="3"/>
  <c r="BB7" i="3"/>
  <c r="BD7" i="3" s="1"/>
  <c r="BB25" i="3"/>
  <c r="BD25" i="3" s="1"/>
  <c r="AZ25" i="3"/>
  <c r="BC63" i="3"/>
  <c r="R48" i="3"/>
  <c r="S48" i="3" s="1"/>
  <c r="AV48" i="3"/>
  <c r="R12" i="3"/>
  <c r="S12" i="3" s="1"/>
  <c r="AV12" i="3"/>
  <c r="R92" i="3"/>
  <c r="S92" i="3" s="1"/>
  <c r="AV92" i="3"/>
  <c r="R57" i="3"/>
  <c r="S57" i="3" s="1"/>
  <c r="AV57" i="3"/>
  <c r="R87" i="3"/>
  <c r="S87" i="3" s="1"/>
  <c r="AV87" i="3"/>
  <c r="R23" i="3"/>
  <c r="S23" i="3" s="1"/>
  <c r="AV23" i="3"/>
  <c r="R36" i="3"/>
  <c r="S36" i="3" s="1"/>
  <c r="AV36" i="3"/>
  <c r="R61" i="3"/>
  <c r="S61" i="3" s="1"/>
  <c r="AV61" i="3"/>
  <c r="BB29" i="3"/>
  <c r="BD29" i="3" s="1"/>
  <c r="AZ29" i="3"/>
  <c r="BB69" i="3"/>
  <c r="BD69" i="3" s="1"/>
  <c r="AZ69" i="3"/>
  <c r="AZ28" i="3"/>
  <c r="BC28" i="3"/>
  <c r="AZ72" i="3"/>
  <c r="BC72" i="3"/>
  <c r="BB28" i="3"/>
  <c r="BD28" i="3" s="1"/>
  <c r="BB49" i="3"/>
  <c r="BD49" i="3" s="1"/>
  <c r="AZ49" i="3"/>
  <c r="AZ32" i="3"/>
  <c r="BC32" i="3"/>
  <c r="AZ87" i="3"/>
  <c r="BB87" i="3"/>
  <c r="BD87" i="3" s="1"/>
  <c r="BB3" i="3"/>
  <c r="BD3" i="3" s="1"/>
  <c r="AZ3" i="3"/>
  <c r="AZ26" i="3"/>
  <c r="BB26" i="3"/>
  <c r="BD26" i="3" s="1"/>
  <c r="AZ47" i="3"/>
  <c r="BC33" i="3"/>
  <c r="AZ42" i="3"/>
  <c r="BB42" i="3"/>
  <c r="BD42" i="3" s="1"/>
  <c r="BC74" i="3"/>
  <c r="AZ15" i="3"/>
  <c r="BB15" i="3"/>
  <c r="BD15" i="3" s="1"/>
  <c r="AZ6" i="3"/>
  <c r="BB6" i="3"/>
  <c r="BD6" i="3" s="1"/>
  <c r="BB17" i="3"/>
  <c r="BD17" i="3" s="1"/>
  <c r="AZ17" i="3"/>
  <c r="BC77" i="3"/>
  <c r="AZ4" i="3"/>
  <c r="BC4" i="3"/>
  <c r="AZ70" i="3"/>
  <c r="BB70" i="3"/>
  <c r="BD70" i="3" s="1"/>
  <c r="BC70" i="3"/>
  <c r="AZ43" i="3"/>
  <c r="BB43" i="3"/>
  <c r="BD43" i="3" s="1"/>
  <c r="BC17" i="3"/>
  <c r="BC95" i="3"/>
  <c r="AZ24" i="3"/>
  <c r="BC24" i="3"/>
  <c r="AZ8" i="3"/>
  <c r="BC8" i="3"/>
  <c r="AZ14" i="3"/>
  <c r="BB14" i="3"/>
  <c r="BD14" i="3" s="1"/>
  <c r="BC50" i="3"/>
  <c r="BB88" i="3"/>
  <c r="BD88" i="3" s="1"/>
  <c r="AZ31" i="3"/>
  <c r="BB31" i="3"/>
  <c r="BD31" i="3" s="1"/>
  <c r="BC10" i="3"/>
  <c r="BC3" i="3"/>
  <c r="R47" i="3"/>
  <c r="S47" i="3" s="1"/>
  <c r="AV47" i="3"/>
  <c r="R44" i="3"/>
  <c r="AV44" i="3"/>
  <c r="R33" i="3"/>
  <c r="S33" i="3" s="1"/>
  <c r="AV33" i="3"/>
  <c r="R11" i="3"/>
  <c r="S11" i="3" s="1"/>
  <c r="AV11" i="3"/>
  <c r="R13" i="3"/>
  <c r="S13" i="3" s="1"/>
  <c r="AV13" i="3"/>
  <c r="R54" i="3"/>
  <c r="S54" i="3" s="1"/>
  <c r="AV54" i="3"/>
  <c r="R15" i="3"/>
  <c r="S15" i="3" s="1"/>
  <c r="AV15" i="3"/>
  <c r="R65" i="3"/>
  <c r="S65" i="3" s="1"/>
  <c r="AV65" i="3"/>
  <c r="R79" i="3"/>
  <c r="S79" i="3" s="1"/>
  <c r="AV79" i="3"/>
  <c r="R95" i="3"/>
  <c r="S95" i="3" s="1"/>
  <c r="AV95" i="3"/>
  <c r="AZ22" i="3"/>
  <c r="BB22" i="3"/>
  <c r="BD22" i="3" s="1"/>
  <c r="AZ68" i="3"/>
  <c r="BC68" i="3"/>
  <c r="AZ40" i="3"/>
  <c r="BC40" i="3"/>
  <c r="BB65" i="3"/>
  <c r="BD65" i="3" s="1"/>
  <c r="AZ65" i="3"/>
  <c r="AZ63" i="3"/>
  <c r="BB63" i="3"/>
  <c r="BD63" i="3" s="1"/>
  <c r="BB21" i="3"/>
  <c r="BD21" i="3" s="1"/>
  <c r="AZ21" i="3"/>
  <c r="BB33" i="3"/>
  <c r="BD33" i="3" s="1"/>
  <c r="AZ33" i="3"/>
  <c r="BB61" i="3"/>
  <c r="BD61" i="3" s="1"/>
  <c r="AZ61" i="3"/>
  <c r="BB41" i="3"/>
  <c r="BD41" i="3" s="1"/>
  <c r="AZ41" i="3"/>
  <c r="AZ18" i="3"/>
  <c r="BB18" i="3"/>
  <c r="BD18" i="3" s="1"/>
  <c r="BC18" i="3"/>
  <c r="AZ90" i="3"/>
  <c r="BB90" i="3"/>
  <c r="BD90" i="3" s="1"/>
  <c r="BC65" i="3"/>
  <c r="AZ91" i="3"/>
  <c r="BB91" i="3"/>
  <c r="BD91" i="3" s="1"/>
  <c r="BC93" i="3"/>
  <c r="BC34" i="3"/>
  <c r="BC69" i="3"/>
  <c r="AZ11" i="3"/>
  <c r="BB11" i="3"/>
  <c r="BD11" i="3" s="1"/>
  <c r="AZ86" i="3"/>
  <c r="BB86" i="3"/>
  <c r="BD86" i="3" s="1"/>
  <c r="AZ78" i="3"/>
  <c r="BB78" i="3"/>
  <c r="BD78" i="3" s="1"/>
  <c r="AZ56" i="3"/>
  <c r="BC56" i="3"/>
  <c r="BC49" i="3"/>
  <c r="AT56" i="3"/>
  <c r="Q19" i="1"/>
  <c r="R19" i="1" s="1"/>
  <c r="AU34" i="3"/>
  <c r="AT10" i="3"/>
  <c r="AU72" i="3"/>
  <c r="AR10" i="3"/>
  <c r="AT40" i="3"/>
  <c r="AU40" i="3"/>
  <c r="AT72" i="3"/>
  <c r="AU24" i="3"/>
  <c r="AR45" i="3"/>
  <c r="AT24" i="3"/>
  <c r="AT45" i="3"/>
  <c r="AR50" i="3"/>
  <c r="AU50" i="3"/>
  <c r="AU82" i="3"/>
  <c r="AR95" i="3"/>
  <c r="AU95" i="3"/>
  <c r="AR93" i="3"/>
  <c r="AT93" i="3"/>
  <c r="AT37" i="3"/>
  <c r="AR81" i="3"/>
  <c r="AT81" i="3"/>
  <c r="AR68" i="3"/>
  <c r="AT68" i="3"/>
  <c r="AR41" i="3"/>
  <c r="AR21" i="3"/>
  <c r="Q31" i="1"/>
  <c r="R31" i="1" s="1"/>
  <c r="Q18" i="1"/>
  <c r="R18" i="1" s="1"/>
  <c r="AU32" i="3"/>
  <c r="AR32" i="3"/>
  <c r="AU61" i="3"/>
  <c r="AT85" i="3"/>
  <c r="AR61" i="3"/>
  <c r="AU77" i="3"/>
  <c r="AU85" i="3"/>
  <c r="AU60" i="3"/>
  <c r="AT90" i="3"/>
  <c r="AT53" i="3"/>
  <c r="AR79" i="3"/>
  <c r="AR30" i="3"/>
  <c r="AR53" i="3"/>
  <c r="AU36" i="3"/>
  <c r="AR36" i="3"/>
  <c r="AU14" i="3"/>
  <c r="AR90" i="3"/>
  <c r="AT14" i="3"/>
  <c r="AT77" i="3"/>
  <c r="AT60" i="3"/>
  <c r="AR55" i="3"/>
  <c r="AU79" i="3"/>
  <c r="AT74" i="3"/>
  <c r="AR74" i="3"/>
  <c r="AU63" i="3"/>
  <c r="AU21" i="3"/>
  <c r="AR66" i="3"/>
  <c r="AU65" i="3"/>
  <c r="AT62" i="3"/>
  <c r="AU59" i="3"/>
  <c r="AT41" i="3"/>
  <c r="AT63" i="3"/>
  <c r="AT82" i="3"/>
  <c r="AT66" i="3"/>
  <c r="AR62" i="3"/>
  <c r="G39" i="1"/>
  <c r="G39" i="2" s="1"/>
  <c r="F39" i="2"/>
  <c r="G34" i="1"/>
  <c r="G34" i="2" s="1"/>
  <c r="F34" i="2"/>
  <c r="G36" i="1"/>
  <c r="G36" i="2" s="1"/>
  <c r="F36" i="2"/>
  <c r="G33" i="1"/>
  <c r="G33" i="2" s="1"/>
  <c r="F33" i="2"/>
  <c r="G31" i="1"/>
  <c r="G31" i="2" s="1"/>
  <c r="F31" i="2"/>
  <c r="AR3" i="3"/>
  <c r="G35" i="1"/>
  <c r="G35" i="2" s="1"/>
  <c r="F35" i="2"/>
  <c r="G29" i="1"/>
  <c r="G29" i="2" s="1"/>
  <c r="F29" i="2"/>
  <c r="AR8" i="3"/>
  <c r="Q23" i="1"/>
  <c r="R23" i="1" s="1"/>
  <c r="Q13" i="1"/>
  <c r="R13" i="1" s="1"/>
  <c r="Q20" i="1"/>
  <c r="R20" i="1" s="1"/>
  <c r="Q24" i="1"/>
  <c r="R24" i="1" s="1"/>
  <c r="Q22" i="1"/>
  <c r="R22" i="1" s="1"/>
  <c r="AR65" i="3"/>
  <c r="Q29" i="1"/>
  <c r="R29" i="1" s="1"/>
  <c r="AU54" i="3"/>
  <c r="AT30" i="3"/>
  <c r="AR46" i="3"/>
  <c r="Q34" i="1"/>
  <c r="R34" i="1" s="1"/>
  <c r="AR26" i="3"/>
  <c r="AT55" i="3"/>
  <c r="AT8" i="3"/>
  <c r="AT84" i="3"/>
  <c r="AT59" i="3"/>
  <c r="AT46" i="3"/>
  <c r="AR84" i="3"/>
  <c r="AT3" i="3"/>
  <c r="AT70" i="3"/>
  <c r="AR15" i="3"/>
  <c r="AR58" i="3"/>
  <c r="AT39" i="3"/>
  <c r="AR43" i="3"/>
  <c r="AU15" i="3"/>
  <c r="AR86" i="3"/>
  <c r="AT19" i="3"/>
  <c r="AR19" i="3"/>
  <c r="AT18" i="3"/>
  <c r="AT86" i="3"/>
  <c r="AT26" i="3"/>
  <c r="AU18" i="3"/>
  <c r="AT43" i="3"/>
  <c r="AU88" i="3"/>
  <c r="AT88" i="3"/>
  <c r="AT31" i="3"/>
  <c r="AR39" i="3"/>
  <c r="AR70" i="3"/>
  <c r="AR54" i="3"/>
  <c r="AR17" i="3"/>
  <c r="AR11" i="3"/>
  <c r="AT4" i="3"/>
  <c r="AT28" i="3"/>
  <c r="AT89" i="3"/>
  <c r="AU89" i="3"/>
  <c r="AT58" i="3"/>
  <c r="AR4" i="3"/>
  <c r="AU28" i="3"/>
  <c r="AT22" i="3"/>
  <c r="AR31" i="3"/>
  <c r="AR87" i="3"/>
  <c r="AR25" i="3"/>
  <c r="AT25" i="3"/>
  <c r="AU25" i="3"/>
  <c r="AU78" i="3"/>
  <c r="AR23" i="3"/>
  <c r="AR75" i="3"/>
  <c r="AT17" i="3"/>
  <c r="AR33" i="3"/>
  <c r="AU11" i="3"/>
  <c r="AU23" i="3"/>
  <c r="AT75" i="3"/>
  <c r="AR22" i="3"/>
  <c r="AR52" i="3"/>
  <c r="AU52" i="3"/>
  <c r="AT52" i="3"/>
  <c r="AU33" i="3"/>
  <c r="Q25" i="1"/>
  <c r="R25" i="1" s="1"/>
  <c r="AT64" i="3"/>
  <c r="AR64" i="3"/>
  <c r="AU64" i="3"/>
  <c r="AT71" i="3"/>
  <c r="AR71" i="3"/>
  <c r="AU87" i="3"/>
  <c r="AT78" i="3"/>
  <c r="AR78" i="3"/>
  <c r="AT49" i="3"/>
  <c r="AR49" i="3"/>
  <c r="AU49" i="3"/>
  <c r="G37" i="1"/>
  <c r="G37" i="2" s="1"/>
  <c r="M37" i="1"/>
  <c r="E27" i="1"/>
  <c r="E27" i="2" s="1"/>
  <c r="P27" i="1"/>
  <c r="F40" i="1"/>
  <c r="K40" i="1"/>
  <c r="K40" i="2" s="1"/>
  <c r="F42" i="1"/>
  <c r="K42" i="1"/>
  <c r="K42" i="2" s="1"/>
  <c r="F43" i="1"/>
  <c r="F43" i="2" s="1"/>
  <c r="K43" i="1"/>
  <c r="K43" i="2" s="1"/>
  <c r="F44" i="1"/>
  <c r="K44" i="1"/>
  <c r="F45" i="1"/>
  <c r="K45" i="1"/>
  <c r="F48" i="1"/>
  <c r="K48" i="1"/>
  <c r="F46" i="1"/>
  <c r="F47" i="1"/>
  <c r="K46" i="1"/>
  <c r="K47" i="1"/>
  <c r="F49" i="1"/>
  <c r="K49" i="1"/>
  <c r="F50" i="1"/>
  <c r="K50" i="1"/>
  <c r="AV5" i="3" l="1"/>
  <c r="AV73" i="3"/>
  <c r="AV20" i="3"/>
  <c r="R42" i="3"/>
  <c r="S42" i="3" s="1"/>
  <c r="AV91" i="3"/>
  <c r="R6" i="3"/>
  <c r="R29" i="3"/>
  <c r="S29" i="3" s="1"/>
  <c r="AV69" i="3"/>
  <c r="R7" i="3"/>
  <c r="S7" i="3" s="1"/>
  <c r="BD97" i="3"/>
  <c r="C13" i="4" s="1"/>
  <c r="C14" i="4" s="1"/>
  <c r="R49" i="3"/>
  <c r="S49" i="3" s="1"/>
  <c r="AV49" i="3"/>
  <c r="R25" i="3"/>
  <c r="S25" i="3" s="1"/>
  <c r="AV25" i="3"/>
  <c r="R22" i="3"/>
  <c r="S22" i="3" s="1"/>
  <c r="AV22" i="3"/>
  <c r="R43" i="3"/>
  <c r="S43" i="3" s="1"/>
  <c r="AV43" i="3"/>
  <c r="R18" i="3"/>
  <c r="S18" i="3" s="1"/>
  <c r="AV18" i="3"/>
  <c r="R46" i="3"/>
  <c r="S46" i="3" s="1"/>
  <c r="AV46" i="3"/>
  <c r="R55" i="3"/>
  <c r="S55" i="3" s="1"/>
  <c r="AV55" i="3"/>
  <c r="R30" i="3"/>
  <c r="S30" i="3" s="1"/>
  <c r="AV30" i="3"/>
  <c r="R63" i="3"/>
  <c r="S63" i="3" s="1"/>
  <c r="AV63" i="3"/>
  <c r="R60" i="3"/>
  <c r="S60" i="3" s="1"/>
  <c r="AV60" i="3"/>
  <c r="R85" i="3"/>
  <c r="S85" i="3" s="1"/>
  <c r="AV85" i="3"/>
  <c r="R68" i="3"/>
  <c r="S68" i="3" s="1"/>
  <c r="AV68" i="3"/>
  <c r="R37" i="3"/>
  <c r="S37" i="3" s="1"/>
  <c r="AV37" i="3"/>
  <c r="R45" i="3"/>
  <c r="S45" i="3" s="1"/>
  <c r="AV45" i="3"/>
  <c r="R72" i="3"/>
  <c r="S72" i="3" s="1"/>
  <c r="AV72" i="3"/>
  <c r="R56" i="3"/>
  <c r="S56" i="3" s="1"/>
  <c r="AV56" i="3"/>
  <c r="R64" i="3"/>
  <c r="S64" i="3" s="1"/>
  <c r="AV64" i="3"/>
  <c r="R71" i="3"/>
  <c r="S71" i="3" s="1"/>
  <c r="AV71" i="3"/>
  <c r="R89" i="3"/>
  <c r="S89" i="3" s="1"/>
  <c r="AV89" i="3"/>
  <c r="R31" i="3"/>
  <c r="S31" i="3" s="1"/>
  <c r="AV31" i="3"/>
  <c r="R70" i="3"/>
  <c r="S70" i="3" s="1"/>
  <c r="AV70" i="3"/>
  <c r="R59" i="3"/>
  <c r="S59" i="3" s="1"/>
  <c r="AV59" i="3"/>
  <c r="R41" i="3"/>
  <c r="S41" i="3" s="1"/>
  <c r="AV41" i="3"/>
  <c r="R74" i="3"/>
  <c r="S74" i="3" s="1"/>
  <c r="AV74" i="3"/>
  <c r="R77" i="3"/>
  <c r="S77" i="3" s="1"/>
  <c r="AV77" i="3"/>
  <c r="R93" i="3"/>
  <c r="S93" i="3" s="1"/>
  <c r="AV93" i="3"/>
  <c r="R24" i="3"/>
  <c r="S24" i="3" s="1"/>
  <c r="AV24" i="3"/>
  <c r="R10" i="3"/>
  <c r="S10" i="3" s="1"/>
  <c r="AV10" i="3"/>
  <c r="R78" i="3"/>
  <c r="S78" i="3" s="1"/>
  <c r="AV78" i="3"/>
  <c r="R28" i="3"/>
  <c r="S28" i="3" s="1"/>
  <c r="AV28" i="3"/>
  <c r="R88" i="3"/>
  <c r="S88" i="3" s="1"/>
  <c r="AV88" i="3"/>
  <c r="R26" i="3"/>
  <c r="S26" i="3" s="1"/>
  <c r="AV26" i="3"/>
  <c r="R19" i="3"/>
  <c r="S19" i="3" s="1"/>
  <c r="AV19" i="3"/>
  <c r="R39" i="3"/>
  <c r="S39" i="3" s="1"/>
  <c r="AV39" i="3"/>
  <c r="R3" i="3"/>
  <c r="S3" i="3" s="1"/>
  <c r="AV3" i="3"/>
  <c r="R84" i="3"/>
  <c r="S84" i="3" s="1"/>
  <c r="AV84" i="3"/>
  <c r="R66" i="3"/>
  <c r="S66" i="3" s="1"/>
  <c r="AV66" i="3"/>
  <c r="R14" i="3"/>
  <c r="S14" i="3" s="1"/>
  <c r="AV14" i="3"/>
  <c r="R53" i="3"/>
  <c r="S53" i="3" s="1"/>
  <c r="AV53" i="3"/>
  <c r="R81" i="3"/>
  <c r="S81" i="3" s="1"/>
  <c r="AV81" i="3"/>
  <c r="R40" i="3"/>
  <c r="S40" i="3" s="1"/>
  <c r="AV40" i="3"/>
  <c r="R52" i="3"/>
  <c r="S52" i="3" s="1"/>
  <c r="AV52" i="3"/>
  <c r="R75" i="3"/>
  <c r="S75" i="3" s="1"/>
  <c r="AV75" i="3"/>
  <c r="R17" i="3"/>
  <c r="S17" i="3" s="1"/>
  <c r="AV17" i="3"/>
  <c r="R58" i="3"/>
  <c r="S58" i="3" s="1"/>
  <c r="AV58" i="3"/>
  <c r="R4" i="3"/>
  <c r="S4" i="3" s="1"/>
  <c r="AV4" i="3"/>
  <c r="R86" i="3"/>
  <c r="S86" i="3" s="1"/>
  <c r="AV86" i="3"/>
  <c r="R8" i="3"/>
  <c r="S8" i="3" s="1"/>
  <c r="AV8" i="3"/>
  <c r="R82" i="3"/>
  <c r="AV82" i="3"/>
  <c r="R62" i="3"/>
  <c r="S62" i="3" s="1"/>
  <c r="AV62" i="3"/>
  <c r="R90" i="3"/>
  <c r="S90" i="3" s="1"/>
  <c r="AV90" i="3"/>
  <c r="G46" i="1"/>
  <c r="G47" i="1"/>
  <c r="G45" i="1"/>
  <c r="G40" i="1"/>
  <c r="G40" i="2" s="1"/>
  <c r="F40" i="2"/>
  <c r="G50" i="1"/>
  <c r="G48" i="1"/>
  <c r="G44" i="1"/>
  <c r="G42" i="1"/>
  <c r="G42" i="2" s="1"/>
  <c r="F42" i="2"/>
  <c r="G49" i="1"/>
  <c r="M49" i="1"/>
  <c r="G43" i="1"/>
  <c r="G43" i="2" s="1"/>
  <c r="M43" i="1"/>
  <c r="K28" i="1"/>
  <c r="K28" i="2" s="1"/>
  <c r="F28" i="1"/>
  <c r="D13" i="4" l="1"/>
  <c r="S97" i="3"/>
  <c r="S99" i="3" s="1"/>
  <c r="E13" i="4"/>
  <c r="AV97" i="3"/>
  <c r="C21" i="4" s="1"/>
  <c r="E21" i="4" s="1"/>
  <c r="D14" i="4"/>
  <c r="E14" i="4"/>
  <c r="M62" i="1"/>
  <c r="G28" i="1"/>
  <c r="G28" i="2" s="1"/>
  <c r="F28" i="2"/>
  <c r="K27" i="1"/>
  <c r="K27" i="2" s="1"/>
  <c r="F27" i="1"/>
  <c r="F30" i="1"/>
  <c r="K30" i="1"/>
  <c r="K30" i="2" s="1"/>
  <c r="K26" i="1"/>
  <c r="K26" i="2" s="1"/>
  <c r="K25" i="1"/>
  <c r="K25" i="2" s="1"/>
  <c r="K24" i="1"/>
  <c r="K24" i="2" s="1"/>
  <c r="K23" i="1"/>
  <c r="K23" i="2" s="1"/>
  <c r="K22" i="1"/>
  <c r="K22" i="2" s="1"/>
  <c r="K21" i="1"/>
  <c r="K21" i="2" s="1"/>
  <c r="K20" i="1"/>
  <c r="K20" i="2" s="1"/>
  <c r="K19" i="1"/>
  <c r="K19" i="2" s="1"/>
  <c r="K18" i="1"/>
  <c r="K18" i="2" s="1"/>
  <c r="K17" i="1"/>
  <c r="K17" i="2" s="1"/>
  <c r="K16" i="1"/>
  <c r="K16" i="2" s="1"/>
  <c r="K15" i="1"/>
  <c r="K15" i="2" s="1"/>
  <c r="K14" i="1"/>
  <c r="K14" i="2" s="1"/>
  <c r="K13" i="1"/>
  <c r="K13" i="2" s="1"/>
  <c r="K12" i="1"/>
  <c r="K12" i="2" s="1"/>
  <c r="K11" i="1"/>
  <c r="K11" i="2" s="1"/>
  <c r="K10" i="1"/>
  <c r="K10" i="2" s="1"/>
  <c r="K9" i="1"/>
  <c r="K9" i="2" s="1"/>
  <c r="K8" i="1"/>
  <c r="K8" i="2" s="1"/>
  <c r="K7" i="1"/>
  <c r="K7" i="2" s="1"/>
  <c r="K6" i="1"/>
  <c r="K6" i="2" s="1"/>
  <c r="K5" i="1"/>
  <c r="K5" i="2" s="1"/>
  <c r="K4" i="1"/>
  <c r="K4" i="2" s="1"/>
  <c r="K3" i="1"/>
  <c r="K3" i="2" s="1"/>
  <c r="F25" i="1"/>
  <c r="F24" i="1"/>
  <c r="F23" i="1"/>
  <c r="F22" i="1"/>
  <c r="F20" i="1"/>
  <c r="F19" i="1"/>
  <c r="F18" i="1"/>
  <c r="F13" i="1"/>
  <c r="F11" i="1"/>
  <c r="F26" i="1"/>
  <c r="F21" i="1"/>
  <c r="F17" i="1"/>
  <c r="F16" i="1"/>
  <c r="F15" i="1"/>
  <c r="F14" i="1"/>
  <c r="F12" i="1"/>
  <c r="F10" i="1"/>
  <c r="F9" i="1"/>
  <c r="F8" i="1"/>
  <c r="F7" i="1"/>
  <c r="F6" i="1"/>
  <c r="F5" i="1"/>
  <c r="F4" i="1"/>
  <c r="F3" i="1"/>
  <c r="G6" i="1" l="1"/>
  <c r="G6" i="2" s="1"/>
  <c r="F6" i="2"/>
  <c r="G10" i="1"/>
  <c r="G10" i="2" s="1"/>
  <c r="F10" i="2"/>
  <c r="G16" i="1"/>
  <c r="G16" i="2" s="1"/>
  <c r="F16" i="2"/>
  <c r="G11" i="1"/>
  <c r="G11" i="2" s="1"/>
  <c r="F11" i="2"/>
  <c r="G20" i="1"/>
  <c r="G20" i="2" s="1"/>
  <c r="F20" i="2"/>
  <c r="G25" i="1"/>
  <c r="G25" i="2" s="1"/>
  <c r="F25" i="2"/>
  <c r="G3" i="1"/>
  <c r="G3" i="2" s="1"/>
  <c r="F3" i="2"/>
  <c r="G7" i="1"/>
  <c r="G7" i="2" s="1"/>
  <c r="F7" i="2"/>
  <c r="G12" i="1"/>
  <c r="G12" i="2" s="1"/>
  <c r="F12" i="2"/>
  <c r="G17" i="1"/>
  <c r="G17" i="2" s="1"/>
  <c r="F17" i="2"/>
  <c r="G13" i="1"/>
  <c r="G13" i="2" s="1"/>
  <c r="F13" i="2"/>
  <c r="G22" i="1"/>
  <c r="G22" i="2" s="1"/>
  <c r="F22" i="2"/>
  <c r="G4" i="1"/>
  <c r="G4" i="2" s="1"/>
  <c r="F4" i="2"/>
  <c r="G8" i="1"/>
  <c r="G8" i="2" s="1"/>
  <c r="F8" i="2"/>
  <c r="G14" i="1"/>
  <c r="G14" i="2" s="1"/>
  <c r="F14" i="2"/>
  <c r="G21" i="1"/>
  <c r="G21" i="2" s="1"/>
  <c r="F21" i="2"/>
  <c r="G18" i="1"/>
  <c r="G18" i="2" s="1"/>
  <c r="F18" i="2"/>
  <c r="G23" i="1"/>
  <c r="G23" i="2" s="1"/>
  <c r="F23" i="2"/>
  <c r="G30" i="1"/>
  <c r="G30" i="2" s="1"/>
  <c r="F30" i="2"/>
  <c r="G5" i="1"/>
  <c r="G5" i="2" s="1"/>
  <c r="F5" i="2"/>
  <c r="G9" i="1"/>
  <c r="G9" i="2" s="1"/>
  <c r="F9" i="2"/>
  <c r="G15" i="1"/>
  <c r="G15" i="2" s="1"/>
  <c r="F15" i="2"/>
  <c r="G26" i="1"/>
  <c r="G26" i="2" s="1"/>
  <c r="F26" i="2"/>
  <c r="G19" i="1"/>
  <c r="G19" i="2" s="1"/>
  <c r="F19" i="2"/>
  <c r="G24" i="1"/>
  <c r="G24" i="2" s="1"/>
  <c r="F24" i="2"/>
  <c r="G27" i="1"/>
  <c r="G27" i="2" s="1"/>
  <c r="F27" i="2"/>
  <c r="D21" i="4"/>
  <c r="C22" i="4"/>
  <c r="E22" i="4" l="1"/>
  <c r="D22" i="4"/>
  <c r="AF8" i="1"/>
  <c r="T60" i="1" s="1"/>
  <c r="AG8" i="1"/>
  <c r="U60" i="1" s="1"/>
  <c r="AE8" i="1"/>
  <c r="S60" i="1" s="1"/>
  <c r="U41" i="2"/>
  <c r="Q60" i="1" l="1"/>
  <c r="R60" i="1" s="1"/>
  <c r="S49" i="1"/>
  <c r="S48" i="1"/>
  <c r="V41" i="2"/>
  <c r="T48" i="1"/>
  <c r="T49" i="1"/>
  <c r="U44" i="2"/>
  <c r="AE7" i="1" s="1"/>
  <c r="S59" i="1" s="1"/>
  <c r="U48" i="1"/>
  <c r="U49" i="1"/>
  <c r="V44" i="2"/>
  <c r="Z43" i="2"/>
  <c r="AA43" i="2"/>
  <c r="W44" i="2"/>
  <c r="W41" i="2"/>
  <c r="Q48" i="1" l="1"/>
  <c r="R48" i="1" s="1"/>
  <c r="Y43" i="2"/>
  <c r="S38" i="1"/>
  <c r="S51" i="1"/>
  <c r="S35" i="1"/>
  <c r="S56" i="1"/>
  <c r="S44" i="1"/>
  <c r="S41" i="1"/>
  <c r="S32" i="1"/>
  <c r="AE9" i="1"/>
  <c r="AF7" i="1"/>
  <c r="T59" i="1" s="1"/>
  <c r="Q59" i="1" s="1"/>
  <c r="R59" i="1" s="1"/>
  <c r="AG9" i="1"/>
  <c r="AG7" i="1"/>
  <c r="U59" i="1" s="1"/>
  <c r="AF9" i="1"/>
  <c r="Q49" i="1"/>
  <c r="R49" i="1" s="1"/>
  <c r="T51" i="1" l="1"/>
  <c r="Q51" i="1" s="1"/>
  <c r="R51" i="1" s="1"/>
  <c r="T35" i="1"/>
  <c r="Q35" i="1" s="1"/>
  <c r="R35" i="1" s="1"/>
  <c r="T56" i="1"/>
  <c r="Q56" i="1" s="1"/>
  <c r="R56" i="1" s="1"/>
  <c r="T44" i="1"/>
  <c r="Q44" i="1" s="1"/>
  <c r="R44" i="1" s="1"/>
  <c r="T32" i="1"/>
  <c r="Q32" i="1" s="1"/>
  <c r="R32" i="1" s="1"/>
  <c r="T41" i="1"/>
  <c r="Q41" i="1" s="1"/>
  <c r="R41" i="1" s="1"/>
  <c r="T38" i="1"/>
  <c r="Q38" i="1" s="1"/>
  <c r="R38" i="1" s="1"/>
  <c r="U56" i="1"/>
  <c r="U44" i="1"/>
  <c r="U32" i="1"/>
  <c r="U41" i="1"/>
  <c r="U51" i="1"/>
  <c r="U35" i="1"/>
  <c r="U38" i="1"/>
  <c r="T43" i="1"/>
  <c r="T54" i="1"/>
  <c r="T37" i="1"/>
  <c r="U37" i="1"/>
  <c r="U43" i="1"/>
  <c r="U54" i="1"/>
  <c r="S54" i="1"/>
  <c r="S43" i="1"/>
  <c r="S37" i="1"/>
  <c r="Q43" i="1" l="1"/>
  <c r="R43" i="1" s="1"/>
  <c r="Q54" i="1"/>
  <c r="R54" i="1" s="1"/>
  <c r="Q37" i="1"/>
  <c r="R37" i="1" s="1"/>
  <c r="AG52" i="2"/>
  <c r="AE10" i="1" s="1"/>
  <c r="AH52" i="2"/>
  <c r="AF10" i="1" s="1"/>
  <c r="AI52" i="2"/>
  <c r="AG10" i="1" s="1"/>
  <c r="S55" i="1" l="1"/>
  <c r="S52" i="1"/>
  <c r="U52" i="1"/>
  <c r="U55" i="1"/>
  <c r="T55" i="1"/>
  <c r="T52" i="1"/>
  <c r="Q52" i="1" l="1"/>
  <c r="R52" i="1" s="1"/>
  <c r="Q55" i="1"/>
  <c r="R55" i="1" s="1"/>
</calcChain>
</file>

<file path=xl/sharedStrings.xml><?xml version="1.0" encoding="utf-8"?>
<sst xmlns="http://schemas.openxmlformats.org/spreadsheetml/2006/main" count="698" uniqueCount="196">
  <si>
    <t>Essential</t>
  </si>
  <si>
    <t>Newspoll</t>
  </si>
  <si>
    <t>Galaxy</t>
  </si>
  <si>
    <t>LNP</t>
  </si>
  <si>
    <t>ALP</t>
  </si>
  <si>
    <t>GRN</t>
  </si>
  <si>
    <t>BASE</t>
  </si>
  <si>
    <t>DATE</t>
  </si>
  <si>
    <t>LNP2</t>
  </si>
  <si>
    <t>ALP2</t>
  </si>
  <si>
    <t>Sample</t>
  </si>
  <si>
    <t>Accuracy</t>
  </si>
  <si>
    <t>PUBLISHED</t>
  </si>
  <si>
    <t>OTH</t>
  </si>
  <si>
    <t>ReachTEL</t>
  </si>
  <si>
    <t>Morgan phone</t>
  </si>
  <si>
    <t>Morgan SMS</t>
  </si>
  <si>
    <t>Ipsos</t>
  </si>
  <si>
    <t>POLLSTER</t>
  </si>
  <si>
    <t>BIAS BASE</t>
  </si>
  <si>
    <t>SWING SINCE</t>
  </si>
  <si>
    <t>Labor</t>
  </si>
  <si>
    <t>Greens</t>
  </si>
  <si>
    <t>Others</t>
  </si>
  <si>
    <t>LABOR</t>
  </si>
  <si>
    <t>SEATS</t>
  </si>
  <si>
    <t>Coalition</t>
  </si>
  <si>
    <t>COALITION</t>
  </si>
  <si>
    <t>TWO-PARTY: RESPONDENT-ALLOCATED</t>
  </si>
  <si>
    <t>TWO-PARTY: 2011 PREFERENCES</t>
  </si>
  <si>
    <t>Albury</t>
  </si>
  <si>
    <t>Auburn</t>
  </si>
  <si>
    <t>Ballina</t>
  </si>
  <si>
    <t>Balmain</t>
  </si>
  <si>
    <t>Bankstown</t>
  </si>
  <si>
    <t>Barwon</t>
  </si>
  <si>
    <t>Bathurst</t>
  </si>
  <si>
    <t>Baulkham Hills</t>
  </si>
  <si>
    <t>Bega</t>
  </si>
  <si>
    <t>Blacktown</t>
  </si>
  <si>
    <t>Blue Mountains</t>
  </si>
  <si>
    <t>Cabramatta</t>
  </si>
  <si>
    <t>Camden</t>
  </si>
  <si>
    <t>Campbelltown</t>
  </si>
  <si>
    <t>Canterbury</t>
  </si>
  <si>
    <t>Castle Hill</t>
  </si>
  <si>
    <t>Cessnock</t>
  </si>
  <si>
    <t>Charlestown</t>
  </si>
  <si>
    <t>Clarence</t>
  </si>
  <si>
    <t>Coffs Harbour</t>
  </si>
  <si>
    <t>Coogee</t>
  </si>
  <si>
    <t>Cootamundra</t>
  </si>
  <si>
    <t>Cronulla</t>
  </si>
  <si>
    <t>Davidson</t>
  </si>
  <si>
    <t>Drummoyne</t>
  </si>
  <si>
    <t>Dubbo</t>
  </si>
  <si>
    <t>East Hills</t>
  </si>
  <si>
    <t>Epping</t>
  </si>
  <si>
    <t>Fairfield</t>
  </si>
  <si>
    <t>Gosford</t>
  </si>
  <si>
    <t>Goulburn</t>
  </si>
  <si>
    <t>Granville</t>
  </si>
  <si>
    <t>Hawkesbury</t>
  </si>
  <si>
    <t>Heathcote</t>
  </si>
  <si>
    <t>Heffron</t>
  </si>
  <si>
    <t>Holsworthy</t>
  </si>
  <si>
    <t>Hornsby</t>
  </si>
  <si>
    <t>Keira</t>
  </si>
  <si>
    <t>Kiama</t>
  </si>
  <si>
    <t>Kogarah</t>
  </si>
  <si>
    <t>Ku-ring-gai</t>
  </si>
  <si>
    <t>Lake Macquarie</t>
  </si>
  <si>
    <t>Lakemba</t>
  </si>
  <si>
    <t>Lane Cove</t>
  </si>
  <si>
    <t>Lismore</t>
  </si>
  <si>
    <t>Liverpool</t>
  </si>
  <si>
    <t>Londonderry</t>
  </si>
  <si>
    <t>Macquarie Fields</t>
  </si>
  <si>
    <t>Maitland</t>
  </si>
  <si>
    <t>Manly</t>
  </si>
  <si>
    <t>Maroubra</t>
  </si>
  <si>
    <t>Miranda</t>
  </si>
  <si>
    <t>Monaro</t>
  </si>
  <si>
    <t>Mount Druitt</t>
  </si>
  <si>
    <t>Mulgoa</t>
  </si>
  <si>
    <t>Murray</t>
  </si>
  <si>
    <t>Myall Lakes</t>
  </si>
  <si>
    <t>Newcastle</t>
  </si>
  <si>
    <t>Newtown</t>
  </si>
  <si>
    <t>North Shore</t>
  </si>
  <si>
    <t>Northern Tablelands</t>
  </si>
  <si>
    <t>Oatley</t>
  </si>
  <si>
    <t>Orange</t>
  </si>
  <si>
    <t>Oxley</t>
  </si>
  <si>
    <t>Parramatta</t>
  </si>
  <si>
    <t>Penrith</t>
  </si>
  <si>
    <t>Pittwater</t>
  </si>
  <si>
    <t>Port Macquarie</t>
  </si>
  <si>
    <t>Port Stephens</t>
  </si>
  <si>
    <t>Prospect</t>
  </si>
  <si>
    <t>Riverstone</t>
  </si>
  <si>
    <t>Rockdale</t>
  </si>
  <si>
    <t>Ryde</t>
  </si>
  <si>
    <t>Seven Hills</t>
  </si>
  <si>
    <t>Shellharbour</t>
  </si>
  <si>
    <t>South Coast</t>
  </si>
  <si>
    <t>Strathfield</t>
  </si>
  <si>
    <t>Summer Hill</t>
  </si>
  <si>
    <t>Swansea</t>
  </si>
  <si>
    <t>Sydney</t>
  </si>
  <si>
    <t>Tamworth</t>
  </si>
  <si>
    <t>Terrigal</t>
  </si>
  <si>
    <t>The Entrance</t>
  </si>
  <si>
    <t>Tweed</t>
  </si>
  <si>
    <t>Upper Hunter</t>
  </si>
  <si>
    <t>Vaucluse</t>
  </si>
  <si>
    <t>Wagga Wagga</t>
  </si>
  <si>
    <t>Wakehurst</t>
  </si>
  <si>
    <t>Wallsend</t>
  </si>
  <si>
    <t>Willoughby</t>
  </si>
  <si>
    <t>Wollondilly</t>
  </si>
  <si>
    <t>Wollongong</t>
  </si>
  <si>
    <t>Wyong</t>
  </si>
  <si>
    <t>2011 RESULTS</t>
  </si>
  <si>
    <t>2011 LNP</t>
  </si>
  <si>
    <t>MODELLED LNP</t>
  </si>
  <si>
    <t>LNPINC</t>
  </si>
  <si>
    <t>ALPVAC</t>
  </si>
  <si>
    <t>GRNINC</t>
  </si>
  <si>
    <t>ALPINC</t>
  </si>
  <si>
    <t>ALPSOPVAC</t>
  </si>
  <si>
    <t>INDINC</t>
  </si>
  <si>
    <t>NONE</t>
  </si>
  <si>
    <t>GRNSOPWIN</t>
  </si>
  <si>
    <t>LNPSOPVAC</t>
  </si>
  <si>
    <t>LNPSOPWIN</t>
  </si>
  <si>
    <t>LNPVAC</t>
  </si>
  <si>
    <t>IND</t>
  </si>
  <si>
    <t>NOTSYD</t>
  </si>
  <si>
    <t>Vacant</t>
  </si>
  <si>
    <t>Changed</t>
  </si>
  <si>
    <t>Sophomore</t>
  </si>
  <si>
    <t>Rural*Sophomore</t>
  </si>
  <si>
    <t>Adjustment</t>
  </si>
  <si>
    <t>ABSOLUTE SWING</t>
  </si>
  <si>
    <t>AVERAGE</t>
  </si>
  <si>
    <t>Metro</t>
  </si>
  <si>
    <t>Ipsos 21/11/2014</t>
  </si>
  <si>
    <t>Non-Metro</t>
  </si>
  <si>
    <t>Toongabbie/Wentworthville</t>
  </si>
  <si>
    <t>Terrigal/Gosford</t>
  </si>
  <si>
    <t>Sydney/Bligh</t>
  </si>
  <si>
    <t>Smithfield</t>
  </si>
  <si>
    <t>Shellharbour/Illawarra</t>
  </si>
  <si>
    <t>Ryde/Gladesville</t>
  </si>
  <si>
    <t>Oatley/Georges River</t>
  </si>
  <si>
    <t>Murrumbidgee</t>
  </si>
  <si>
    <t>Murray-Darling/Murray</t>
  </si>
  <si>
    <t>Mulgoa/Badgerys Creek</t>
  </si>
  <si>
    <t>Menai/Sutherland</t>
  </si>
  <si>
    <t>Marrickville</t>
  </si>
  <si>
    <t>Macquarie Fields/Moorebank</t>
  </si>
  <si>
    <t>Hornsby/Northcott</t>
  </si>
  <si>
    <t>Heathcote/Bulli</t>
  </si>
  <si>
    <t>Goulburn/Southern Highlands</t>
  </si>
  <si>
    <t>Gosford/Peats</t>
  </si>
  <si>
    <t>Epping/Eastwood</t>
  </si>
  <si>
    <t>Castle Hill/The Hills</t>
  </si>
  <si>
    <t>Burrinjuck</t>
  </si>
  <si>
    <t>Balmain/Port Jackson</t>
  </si>
  <si>
    <t>LNP 2PP</t>
  </si>
  <si>
    <t>Total</t>
  </si>
  <si>
    <t>RESPONDENT ALLOCATED</t>
  </si>
  <si>
    <t>VOTES</t>
  </si>
  <si>
    <t>MINUS 0.23x PLUS 0.0961</t>
  </si>
  <si>
    <t>Longergan 15/3: 2011 SELF-REPORTED</t>
  </si>
  <si>
    <t>Ipsos 6/2/2015</t>
  </si>
  <si>
    <t>Longergan 15/3/2015</t>
  </si>
  <si>
    <t>METRO-REGIONAL SPLIT</t>
  </si>
  <si>
    <t>MODELLED PRIMARY</t>
  </si>
  <si>
    <t>STANDARDISED</t>
  </si>
  <si>
    <t>EXHAUST</t>
  </si>
  <si>
    <t>EXH</t>
  </si>
  <si>
    <t>2011 pref</t>
  </si>
  <si>
    <t>respondent</t>
  </si>
  <si>
    <t>Ipsos 20/3/2015</t>
  </si>
  <si>
    <t>Lonergan</t>
  </si>
  <si>
    <t>BAIRD PREF</t>
  </si>
  <si>
    <t>FOLEY PREF</t>
  </si>
  <si>
    <t>BAIRD APP</t>
  </si>
  <si>
    <t>BAIRD DIS</t>
  </si>
  <si>
    <t>FOLEY APP</t>
  </si>
  <si>
    <t>Longergan 21/3/2015</t>
  </si>
  <si>
    <t>R/A PREFS</t>
  </si>
  <si>
    <t>2011 PREFS</t>
  </si>
  <si>
    <t>Newspoll 25/3/2015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</si>
</sst>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\+#0.0;\-#0.0"/>
    <numFmt numFmtId="165" formatCode="0.0%"/>
    <numFmt numFmtId="166" formatCode="\+#0.0%;\-#0.0%"/>
    <numFmt numFmtId="167" formatCode="\+#;\-#;0"/>
    <numFmt numFmtId="168" formatCode="0.0"/>
    <numFmt numFmtId="169" formatCode="0.0_ ;\-0.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rgb="FF0049B3"/>
      <name val="Arial"/>
      <family val="2"/>
    </font>
    <font>
      <sz val="9"/>
      <color theme="1"/>
      <name val="Arial"/>
      <family val="2"/>
    </font>
    <font>
      <b/>
      <sz val="9"/>
      <color rgb="FF8C0000"/>
      <name val="Arial"/>
      <family val="2"/>
    </font>
    <font>
      <b/>
      <sz val="9"/>
      <color rgb="FF006000"/>
      <name val="Arial"/>
      <family val="2"/>
    </font>
    <font>
      <b/>
      <sz val="9"/>
      <color theme="1" tint="0.49998474074526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Arial"/>
      <family val="2"/>
    </font>
    <font>
      <sz val="11"/>
      <color theme="2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rgb="FFDAE9FF"/>
        <bgColor indexed="64"/>
      </patternFill>
    </fill>
    <fill>
      <patternFill patternType="solid">
        <fgColor rgb="FFFFDADA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C1C1C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14" fontId="1" fillId="0" borderId="0" xfId="1" applyNumberFormat="1" applyFont="1"/>
    <xf numFmtId="0" fontId="1" fillId="0" borderId="0" xfId="1" applyFont="1"/>
    <xf numFmtId="14" fontId="0" fillId="0" borderId="0" xfId="0" applyNumberFormat="1" applyFont="1"/>
    <xf numFmtId="14" fontId="0" fillId="2" borderId="0" xfId="0" applyNumberFormat="1" applyFont="1" applyFill="1"/>
    <xf numFmtId="14" fontId="0" fillId="0" borderId="0" xfId="0" applyNumberFormat="1"/>
    <xf numFmtId="0" fontId="2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1" applyFont="1"/>
    <xf numFmtId="0" fontId="2" fillId="0" borderId="1" xfId="0" applyFont="1" applyBorder="1" applyAlignment="1">
      <alignment vertical="top" wrapText="1"/>
    </xf>
    <xf numFmtId="164" fontId="1" fillId="0" borderId="0" xfId="1" applyNumberFormat="1" applyAlignment="1"/>
    <xf numFmtId="164" fontId="1" fillId="0" borderId="0" xfId="1" applyNumberFormat="1"/>
    <xf numFmtId="164" fontId="0" fillId="0" borderId="0" xfId="0" applyNumberFormat="1"/>
    <xf numFmtId="0" fontId="4" fillId="3" borderId="2" xfId="1" applyFont="1" applyFill="1" applyBorder="1"/>
    <xf numFmtId="0" fontId="5" fillId="3" borderId="0" xfId="1" applyFont="1" applyFill="1" applyBorder="1" applyAlignment="1">
      <alignment horizontal="center"/>
    </xf>
    <xf numFmtId="16" fontId="5" fillId="3" borderId="0" xfId="1" applyNumberFormat="1" applyFont="1" applyFill="1" applyBorder="1" applyAlignment="1">
      <alignment horizontal="center"/>
    </xf>
    <xf numFmtId="0" fontId="5" fillId="3" borderId="3" xfId="1" applyFont="1" applyFill="1" applyBorder="1" applyAlignment="1">
      <alignment horizontal="center"/>
    </xf>
    <xf numFmtId="0" fontId="6" fillId="3" borderId="2" xfId="1" applyFont="1" applyFill="1" applyBorder="1"/>
    <xf numFmtId="165" fontId="6" fillId="3" borderId="0" xfId="1" applyNumberFormat="1" applyFont="1" applyFill="1" applyBorder="1" applyAlignment="1">
      <alignment horizontal="center"/>
    </xf>
    <xf numFmtId="166" fontId="7" fillId="3" borderId="0" xfId="1" applyNumberFormat="1" applyFont="1" applyFill="1" applyBorder="1" applyAlignment="1">
      <alignment horizontal="center"/>
    </xf>
    <xf numFmtId="166" fontId="7" fillId="3" borderId="3" xfId="1" applyNumberFormat="1" applyFont="1" applyFill="1" applyBorder="1" applyAlignment="1">
      <alignment horizontal="center"/>
    </xf>
    <xf numFmtId="0" fontId="8" fillId="3" borderId="2" xfId="1" applyFont="1" applyFill="1" applyBorder="1"/>
    <xf numFmtId="165" fontId="8" fillId="3" borderId="0" xfId="1" applyNumberFormat="1" applyFont="1" applyFill="1" applyBorder="1" applyAlignment="1">
      <alignment horizontal="center"/>
    </xf>
    <xf numFmtId="0" fontId="9" fillId="3" borderId="2" xfId="1" applyFont="1" applyFill="1" applyBorder="1"/>
    <xf numFmtId="165" fontId="9" fillId="3" borderId="0" xfId="1" applyNumberFormat="1" applyFont="1" applyFill="1" applyBorder="1" applyAlignment="1">
      <alignment horizontal="center"/>
    </xf>
    <xf numFmtId="0" fontId="10" fillId="3" borderId="2" xfId="1" applyFont="1" applyFill="1" applyBorder="1"/>
    <xf numFmtId="165" fontId="10" fillId="3" borderId="0" xfId="1" applyNumberFormat="1" applyFont="1" applyFill="1" applyBorder="1" applyAlignment="1">
      <alignment horizontal="center"/>
    </xf>
    <xf numFmtId="0" fontId="11" fillId="4" borderId="2" xfId="1" applyFont="1" applyFill="1" applyBorder="1"/>
    <xf numFmtId="165" fontId="11" fillId="4" borderId="0" xfId="1" applyNumberFormat="1" applyFont="1" applyFill="1" applyBorder="1" applyAlignment="1">
      <alignment horizontal="center"/>
    </xf>
    <xf numFmtId="166" fontId="12" fillId="4" borderId="0" xfId="1" applyNumberFormat="1" applyFont="1" applyFill="1" applyBorder="1" applyAlignment="1">
      <alignment horizontal="center"/>
    </xf>
    <xf numFmtId="166" fontId="12" fillId="4" borderId="3" xfId="1" applyNumberFormat="1" applyFont="1" applyFill="1" applyBorder="1" applyAlignment="1">
      <alignment horizontal="center"/>
    </xf>
    <xf numFmtId="0" fontId="11" fillId="5" borderId="2" xfId="1" applyFont="1" applyFill="1" applyBorder="1"/>
    <xf numFmtId="165" fontId="11" fillId="5" borderId="0" xfId="1" applyNumberFormat="1" applyFont="1" applyFill="1" applyBorder="1" applyAlignment="1">
      <alignment horizontal="center"/>
    </xf>
    <xf numFmtId="166" fontId="12" fillId="5" borderId="0" xfId="1" applyNumberFormat="1" applyFont="1" applyFill="1" applyBorder="1" applyAlignment="1">
      <alignment horizontal="center"/>
    </xf>
    <xf numFmtId="166" fontId="12" fillId="5" borderId="3" xfId="1" applyNumberFormat="1" applyFont="1" applyFill="1" applyBorder="1" applyAlignment="1">
      <alignment horizontal="center"/>
    </xf>
    <xf numFmtId="1" fontId="11" fillId="4" borderId="0" xfId="1" applyNumberFormat="1" applyFont="1" applyFill="1" applyBorder="1" applyAlignment="1">
      <alignment horizontal="center"/>
    </xf>
    <xf numFmtId="167" fontId="7" fillId="4" borderId="0" xfId="1" applyNumberFormat="1" applyFont="1" applyFill="1" applyBorder="1" applyAlignment="1">
      <alignment horizontal="center"/>
    </xf>
    <xf numFmtId="167" fontId="7" fillId="4" borderId="3" xfId="1" applyNumberFormat="1" applyFont="1" applyFill="1" applyBorder="1" applyAlignment="1">
      <alignment horizontal="center"/>
    </xf>
    <xf numFmtId="1" fontId="11" fillId="5" borderId="0" xfId="1" applyNumberFormat="1" applyFont="1" applyFill="1" applyBorder="1" applyAlignment="1">
      <alignment horizontal="center"/>
    </xf>
    <xf numFmtId="167" fontId="7" fillId="5" borderId="0" xfId="1" applyNumberFormat="1" applyFont="1" applyFill="1" applyBorder="1" applyAlignment="1">
      <alignment horizontal="center"/>
    </xf>
    <xf numFmtId="167" fontId="7" fillId="5" borderId="3" xfId="1" applyNumberFormat="1" applyFont="1" applyFill="1" applyBorder="1" applyAlignment="1">
      <alignment horizontal="center"/>
    </xf>
    <xf numFmtId="0" fontId="13" fillId="3" borderId="2" xfId="1" applyFont="1" applyFill="1" applyBorder="1"/>
    <xf numFmtId="0" fontId="13" fillId="3" borderId="0" xfId="1" applyNumberFormat="1" applyFont="1" applyFill="1" applyBorder="1" applyAlignment="1">
      <alignment horizontal="center"/>
    </xf>
    <xf numFmtId="0" fontId="7" fillId="3" borderId="0" xfId="1" applyNumberFormat="1" applyFont="1" applyFill="1" applyBorder="1" applyAlignment="1">
      <alignment horizontal="center"/>
    </xf>
    <xf numFmtId="0" fontId="7" fillId="3" borderId="3" xfId="1" applyNumberFormat="1" applyFont="1" applyFill="1" applyBorder="1" applyAlignment="1">
      <alignment horizontal="center"/>
    </xf>
    <xf numFmtId="0" fontId="4" fillId="3" borderId="4" xfId="1" applyFont="1" applyFill="1" applyBorder="1"/>
    <xf numFmtId="0" fontId="5" fillId="3" borderId="4" xfId="1" applyFont="1" applyFill="1" applyBorder="1" applyAlignment="1">
      <alignment horizontal="center"/>
    </xf>
    <xf numFmtId="0" fontId="5" fillId="3" borderId="4" xfId="1" applyFont="1" applyFill="1" applyBorder="1" applyAlignment="1">
      <alignment horizontal="center" vertical="top"/>
    </xf>
    <xf numFmtId="0" fontId="3" fillId="0" borderId="0" xfId="0" applyFont="1"/>
    <xf numFmtId="0" fontId="14" fillId="3" borderId="2" xfId="1" applyFont="1" applyFill="1" applyBorder="1" applyAlignment="1">
      <alignment horizontal="center"/>
    </xf>
    <xf numFmtId="0" fontId="15" fillId="0" borderId="0" xfId="0" applyFont="1"/>
    <xf numFmtId="165" fontId="16" fillId="0" borderId="0" xfId="1" applyNumberFormat="1" applyFont="1"/>
    <xf numFmtId="0" fontId="16" fillId="0" borderId="0" xfId="1" applyFont="1"/>
    <xf numFmtId="165" fontId="15" fillId="0" borderId="0" xfId="0" applyNumberFormat="1" applyFont="1"/>
    <xf numFmtId="9" fontId="16" fillId="0" borderId="0" xfId="1" applyNumberFormat="1" applyFont="1"/>
    <xf numFmtId="165" fontId="0" fillId="0" borderId="0" xfId="0" applyNumberFormat="1"/>
    <xf numFmtId="165" fontId="1" fillId="0" borderId="0" xfId="1" applyNumberFormat="1"/>
    <xf numFmtId="165" fontId="16" fillId="0" borderId="0" xfId="1" applyNumberFormat="1" applyFont="1" applyFill="1"/>
    <xf numFmtId="9" fontId="0" fillId="0" borderId="0" xfId="0" applyNumberFormat="1"/>
    <xf numFmtId="0" fontId="17" fillId="0" borderId="0" xfId="0" applyFont="1"/>
    <xf numFmtId="0" fontId="17" fillId="0" borderId="0" xfId="0" applyFont="1" applyAlignment="1">
      <alignment horizontal="center"/>
    </xf>
    <xf numFmtId="0" fontId="0" fillId="0" borderId="0" xfId="0" applyNumberFormat="1"/>
    <xf numFmtId="168" fontId="0" fillId="0" borderId="0" xfId="0" applyNumberFormat="1"/>
    <xf numFmtId="16" fontId="0" fillId="0" borderId="0" xfId="0" applyNumberFormat="1"/>
    <xf numFmtId="15" fontId="2" fillId="0" borderId="0" xfId="0" applyNumberFormat="1" applyFont="1" applyAlignment="1">
      <alignment vertical="top" wrapText="1"/>
    </xf>
    <xf numFmtId="0" fontId="18" fillId="0" borderId="5" xfId="0" applyFont="1" applyBorder="1" applyAlignment="1">
      <alignment horizontal="center" vertical="top" wrapText="1"/>
    </xf>
    <xf numFmtId="15" fontId="2" fillId="0" borderId="1" xfId="0" applyNumberFormat="1" applyFont="1" applyBorder="1" applyAlignment="1">
      <alignment vertical="top" wrapText="1"/>
    </xf>
    <xf numFmtId="0" fontId="18" fillId="0" borderId="6" xfId="0" applyFont="1" applyBorder="1" applyAlignment="1">
      <alignment horizontal="center" vertical="top" wrapText="1"/>
    </xf>
    <xf numFmtId="165" fontId="3" fillId="0" borderId="0" xfId="0" applyNumberFormat="1" applyFont="1"/>
    <xf numFmtId="165" fontId="0" fillId="0" borderId="0" xfId="0" applyNumberFormat="1" applyFont="1"/>
    <xf numFmtId="169" fontId="0" fillId="0" borderId="0" xfId="0" applyNumberFormat="1"/>
    <xf numFmtId="0" fontId="18" fillId="0" borderId="0" xfId="0" applyFont="1" applyBorder="1" applyAlignment="1">
      <alignment horizontal="center" vertical="top" wrapText="1"/>
    </xf>
    <xf numFmtId="9" fontId="19" fillId="0" borderId="0" xfId="0" applyNumberFormat="1" applyFont="1"/>
    <xf numFmtId="0" fontId="2" fillId="0" borderId="5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5" fillId="3" borderId="0" xfId="1" applyFont="1" applyFill="1" applyBorder="1" applyAlignment="1">
      <alignment horizontal="center" vertical="top"/>
    </xf>
    <xf numFmtId="0" fontId="5" fillId="3" borderId="3" xfId="1" applyFont="1" applyFill="1" applyBorder="1" applyAlignment="1">
      <alignment horizontal="center" vertical="top"/>
    </xf>
    <xf numFmtId="0" fontId="14" fillId="3" borderId="2" xfId="1" applyFont="1" applyFill="1" applyBorder="1" applyAlignment="1">
      <alignment horizontal="center"/>
    </xf>
    <xf numFmtId="0" fontId="14" fillId="3" borderId="0" xfId="1" applyFont="1" applyFill="1" applyBorder="1" applyAlignment="1">
      <alignment horizontal="center"/>
    </xf>
    <xf numFmtId="0" fontId="14" fillId="3" borderId="3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9"/>
  <sheetViews>
    <sheetView tabSelected="1" workbookViewId="0">
      <pane xSplit="4" ySplit="2" topLeftCell="E27" activePane="bottomRight" state="frozen"/>
      <selection pane="topRight" activeCell="E1" sqref="E1"/>
      <selection pane="bottomLeft" activeCell="A3" sqref="A3"/>
      <selection pane="bottomRight" activeCell="W58" sqref="W58"/>
    </sheetView>
  </sheetViews>
  <sheetFormatPr defaultRowHeight="15" x14ac:dyDescent="0.25"/>
  <cols>
    <col min="1" max="1" width="10.7109375" bestFit="1" customWidth="1"/>
    <col min="15" max="15" width="10.7109375" bestFit="1" customWidth="1"/>
    <col min="29" max="29" width="14" bestFit="1" customWidth="1"/>
  </cols>
  <sheetData>
    <row r="1" spans="1:49" x14ac:dyDescent="0.25">
      <c r="H1" s="76" t="s">
        <v>12</v>
      </c>
      <c r="I1" s="76"/>
      <c r="J1" s="76"/>
      <c r="K1" s="76"/>
      <c r="L1" s="8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7"/>
    </row>
    <row r="2" spans="1:49" ht="15.75" thickBot="1" x14ac:dyDescent="0.3">
      <c r="A2" t="s">
        <v>7</v>
      </c>
      <c r="B2" t="s">
        <v>18</v>
      </c>
      <c r="C2" t="s">
        <v>10</v>
      </c>
      <c r="D2" t="s">
        <v>11</v>
      </c>
      <c r="E2" t="s">
        <v>6</v>
      </c>
      <c r="F2" t="s">
        <v>8</v>
      </c>
      <c r="G2" t="s">
        <v>9</v>
      </c>
      <c r="H2" t="s">
        <v>3</v>
      </c>
      <c r="I2" t="s">
        <v>4</v>
      </c>
      <c r="J2" t="s">
        <v>5</v>
      </c>
      <c r="K2" t="s">
        <v>13</v>
      </c>
      <c r="L2" t="s">
        <v>172</v>
      </c>
      <c r="O2" t="s">
        <v>7</v>
      </c>
      <c r="P2" t="s">
        <v>6</v>
      </c>
      <c r="Q2" t="s">
        <v>8</v>
      </c>
      <c r="R2" t="s">
        <v>9</v>
      </c>
      <c r="S2" t="s">
        <v>3</v>
      </c>
      <c r="T2" t="s">
        <v>4</v>
      </c>
      <c r="U2" t="s">
        <v>5</v>
      </c>
      <c r="AD2" t="s">
        <v>11</v>
      </c>
      <c r="AE2" t="s">
        <v>3</v>
      </c>
      <c r="AF2" t="s">
        <v>4</v>
      </c>
      <c r="AG2" t="s">
        <v>5</v>
      </c>
    </row>
    <row r="3" spans="1:49" x14ac:dyDescent="0.25">
      <c r="A3" s="3">
        <v>40817</v>
      </c>
      <c r="B3" s="3" t="s">
        <v>1</v>
      </c>
      <c r="C3">
        <v>1270</v>
      </c>
      <c r="D3">
        <f t="shared" ref="D3:D34" si="0">INDEX(AD$3:AD$10,MATCH(B3,AC$3:AC$10,0))</f>
        <v>1</v>
      </c>
      <c r="E3">
        <f>C3*D3</f>
        <v>1270</v>
      </c>
      <c r="F3">
        <f t="shared" ref="F3:F11" si="1">(H3+((J3*0.18)+((100-SUM(H3:J3))*0.23)))/((I3+((J3*0.31)+((100-SUM(H3:J3))*0.19)))+(H3+((J3*0.18)+((100-SUM(H3:J3))*0.23))))*100</f>
        <v>66.233005157055786</v>
      </c>
      <c r="G3">
        <f t="shared" ref="G3:G11" si="2">100-F3</f>
        <v>33.766994842944214</v>
      </c>
      <c r="H3">
        <v>51</v>
      </c>
      <c r="I3">
        <v>22</v>
      </c>
      <c r="J3">
        <v>14</v>
      </c>
      <c r="K3">
        <f t="shared" ref="K3:K19" si="3">100-SUM(H3:J3)</f>
        <v>13</v>
      </c>
      <c r="O3" s="5">
        <f>A3</f>
        <v>40817</v>
      </c>
      <c r="P3">
        <f>C3*D3</f>
        <v>1270</v>
      </c>
      <c r="Q3">
        <f>((S3+((100-(S3+T3))*0.206586))/((S3+((100-(S3+T3))*0.206586))+(T3+((100-(S3+T3))*0.241274))))*100</f>
        <v>66.120219349563698</v>
      </c>
      <c r="R3">
        <f t="shared" ref="R3:R60" si="4">100-Q3</f>
        <v>33.879780650436302</v>
      </c>
      <c r="S3">
        <f t="shared" ref="S3:S34" si="5">H3+INDEX(AE$3:AE$10,MATCH($B3,$AC$3:$AC$10,0))</f>
        <v>51.6</v>
      </c>
      <c r="T3">
        <f t="shared" ref="T3:T34" si="6">I3+INDEX(AF$3:AF$10,MATCH($B3,$AC$3:$AC$10,0))</f>
        <v>23</v>
      </c>
      <c r="U3">
        <f t="shared" ref="U3:U34" si="7">J3+INDEX(AG$3:AG$10,MATCH($B3,$AC$3:$AC$10,0))</f>
        <v>13</v>
      </c>
      <c r="W3">
        <f t="shared" ref="W3:W31" si="8">(Y3+((AA3*0.18)+((100-SUM(Y3:AA3))*0.23)))/((Z3+((AA3*0.31)+((100-SUM(Y3:AA3))*0.19)))+(Y3+((AA3*0.18)+((100-SUM(Y3:AA3))*0.23))))*100</f>
        <v>64.899503644879502</v>
      </c>
      <c r="X3">
        <f t="shared" ref="X3:X31" si="9">100-W3</f>
        <v>35.100496355120498</v>
      </c>
      <c r="Y3" s="11">
        <v>50.394559999999998</v>
      </c>
      <c r="Z3" s="11">
        <v>23.721229999999998</v>
      </c>
      <c r="AA3" s="11">
        <v>12.48757</v>
      </c>
      <c r="AC3" t="s">
        <v>1</v>
      </c>
      <c r="AD3">
        <v>1</v>
      </c>
      <c r="AE3" s="12">
        <v>0.6</v>
      </c>
      <c r="AF3" s="12">
        <v>1</v>
      </c>
      <c r="AG3" s="12">
        <v>-1</v>
      </c>
      <c r="AI3" s="14"/>
      <c r="AJ3" s="67">
        <v>1</v>
      </c>
      <c r="AK3" s="68">
        <v>40817</v>
      </c>
      <c r="AL3" s="11">
        <v>51.6</v>
      </c>
      <c r="AM3" s="11">
        <v>50.23789</v>
      </c>
      <c r="AO3" s="67">
        <v>1</v>
      </c>
      <c r="AP3" s="68">
        <v>40817</v>
      </c>
      <c r="AQ3" s="11">
        <v>23</v>
      </c>
      <c r="AR3" s="11">
        <v>24.009350000000001</v>
      </c>
      <c r="AT3" s="67">
        <v>1</v>
      </c>
      <c r="AU3" s="68">
        <v>40817</v>
      </c>
      <c r="AV3" s="11">
        <v>13</v>
      </c>
      <c r="AW3" s="11">
        <v>12.588839999999999</v>
      </c>
    </row>
    <row r="4" spans="1:49" x14ac:dyDescent="0.25">
      <c r="A4" s="3">
        <v>40873</v>
      </c>
      <c r="B4" s="3" t="s">
        <v>1</v>
      </c>
      <c r="C4">
        <v>1270</v>
      </c>
      <c r="D4">
        <f t="shared" si="0"/>
        <v>1</v>
      </c>
      <c r="E4">
        <f t="shared" ref="E4:E60" si="10">C4*D4</f>
        <v>1270</v>
      </c>
      <c r="F4">
        <f t="shared" si="1"/>
        <v>64</v>
      </c>
      <c r="G4">
        <f t="shared" si="2"/>
        <v>36</v>
      </c>
      <c r="H4">
        <v>49</v>
      </c>
      <c r="I4">
        <v>24</v>
      </c>
      <c r="J4">
        <v>13</v>
      </c>
      <c r="K4">
        <f t="shared" si="3"/>
        <v>14</v>
      </c>
      <c r="O4" s="5">
        <f t="shared" ref="O4:O60" si="11">A4</f>
        <v>40873</v>
      </c>
      <c r="P4">
        <f t="shared" ref="P4:P60" si="12">C4*D4</f>
        <v>1270</v>
      </c>
      <c r="Q4">
        <f t="shared" ref="Q4:Q60" si="13">((S4+((100-(S4+T4))*0.206586))/((S4+((100-(S4+T4))*0.206586))+(T4+((100-(S4+T4))*0.241274))))*100</f>
        <v>63.793979141348444</v>
      </c>
      <c r="R4">
        <f t="shared" si="4"/>
        <v>36.206020858651556</v>
      </c>
      <c r="S4">
        <f t="shared" si="5"/>
        <v>49.6</v>
      </c>
      <c r="T4">
        <f t="shared" si="6"/>
        <v>25</v>
      </c>
      <c r="U4">
        <f t="shared" si="7"/>
        <v>12</v>
      </c>
      <c r="W4">
        <f t="shared" si="8"/>
        <v>64.145847489316935</v>
      </c>
      <c r="X4">
        <f t="shared" si="9"/>
        <v>35.854152510683065</v>
      </c>
      <c r="Y4" s="6">
        <v>49.850610000000003</v>
      </c>
      <c r="Z4" s="6">
        <v>24.4834</v>
      </c>
      <c r="AA4" s="6">
        <v>12.190110000000001</v>
      </c>
      <c r="AC4" t="s">
        <v>2</v>
      </c>
      <c r="AD4">
        <v>1.1000000000000001</v>
      </c>
      <c r="AE4" s="13">
        <v>0.3</v>
      </c>
      <c r="AF4" s="13">
        <v>-1</v>
      </c>
      <c r="AG4" s="13">
        <v>0.2</v>
      </c>
      <c r="AI4" s="14"/>
      <c r="AJ4" s="69">
        <v>2</v>
      </c>
      <c r="AK4" s="66">
        <v>40873</v>
      </c>
      <c r="AL4" s="6">
        <v>49.6</v>
      </c>
      <c r="AM4" s="6">
        <v>49.744410000000002</v>
      </c>
      <c r="AO4" s="69">
        <v>2</v>
      </c>
      <c r="AP4" s="66">
        <v>40873</v>
      </c>
      <c r="AQ4" s="6">
        <v>25</v>
      </c>
      <c r="AR4" s="6">
        <v>24.681170000000002</v>
      </c>
      <c r="AT4" s="69">
        <v>2</v>
      </c>
      <c r="AU4" s="66">
        <v>40873</v>
      </c>
      <c r="AV4" s="6">
        <v>12</v>
      </c>
      <c r="AW4" s="6">
        <v>12.2568</v>
      </c>
    </row>
    <row r="5" spans="1:49" x14ac:dyDescent="0.25">
      <c r="A5" s="4">
        <v>40936</v>
      </c>
      <c r="B5" s="4" t="s">
        <v>1</v>
      </c>
      <c r="C5">
        <v>1270</v>
      </c>
      <c r="D5">
        <f t="shared" si="0"/>
        <v>1</v>
      </c>
      <c r="E5">
        <f t="shared" si="10"/>
        <v>1270</v>
      </c>
      <c r="F5">
        <f t="shared" si="1"/>
        <v>63.299545613421884</v>
      </c>
      <c r="G5">
        <f t="shared" si="2"/>
        <v>36.700454386578116</v>
      </c>
      <c r="H5">
        <v>49</v>
      </c>
      <c r="I5">
        <v>25</v>
      </c>
      <c r="J5">
        <v>13</v>
      </c>
      <c r="K5">
        <f t="shared" si="3"/>
        <v>13</v>
      </c>
      <c r="O5" s="5">
        <f t="shared" si="11"/>
        <v>40936</v>
      </c>
      <c r="P5">
        <f t="shared" si="12"/>
        <v>1270</v>
      </c>
      <c r="Q5">
        <f t="shared" si="13"/>
        <v>63.14815412353564</v>
      </c>
      <c r="R5">
        <f t="shared" si="4"/>
        <v>36.85184587646436</v>
      </c>
      <c r="S5">
        <f t="shared" si="5"/>
        <v>49.6</v>
      </c>
      <c r="T5">
        <f t="shared" si="6"/>
        <v>26</v>
      </c>
      <c r="U5">
        <f t="shared" si="7"/>
        <v>12</v>
      </c>
      <c r="W5">
        <f t="shared" si="8"/>
        <v>63.329978974005776</v>
      </c>
      <c r="X5">
        <f t="shared" si="9"/>
        <v>36.670021025994224</v>
      </c>
      <c r="Y5" s="6">
        <v>49.277679999999997</v>
      </c>
      <c r="Z5" s="6">
        <v>25.32291</v>
      </c>
      <c r="AA5" s="6">
        <v>11.863770000000001</v>
      </c>
      <c r="AC5" t="s">
        <v>15</v>
      </c>
      <c r="AD5">
        <v>1.5</v>
      </c>
      <c r="AE5" s="13">
        <v>1</v>
      </c>
      <c r="AF5" s="13">
        <v>0</v>
      </c>
      <c r="AG5" s="13">
        <v>-1</v>
      </c>
      <c r="AI5" s="14"/>
      <c r="AJ5" s="69">
        <v>3</v>
      </c>
      <c r="AK5" s="66">
        <v>40936</v>
      </c>
      <c r="AL5" s="6">
        <v>49.6</v>
      </c>
      <c r="AM5" s="6">
        <v>49.231160000000003</v>
      </c>
      <c r="AO5" s="69">
        <v>3</v>
      </c>
      <c r="AP5" s="66">
        <v>40936</v>
      </c>
      <c r="AQ5" s="6">
        <v>26</v>
      </c>
      <c r="AR5" s="6">
        <v>25.409659999999999</v>
      </c>
      <c r="AT5" s="69">
        <v>3</v>
      </c>
      <c r="AU5" s="66">
        <v>40936</v>
      </c>
      <c r="AV5" s="6">
        <v>12</v>
      </c>
      <c r="AW5" s="6">
        <v>11.888540000000001</v>
      </c>
    </row>
    <row r="6" spans="1:49" x14ac:dyDescent="0.25">
      <c r="A6" s="3">
        <v>40999</v>
      </c>
      <c r="B6" s="3" t="s">
        <v>1</v>
      </c>
      <c r="C6">
        <v>1270</v>
      </c>
      <c r="D6">
        <f t="shared" si="0"/>
        <v>1</v>
      </c>
      <c r="E6">
        <f t="shared" si="10"/>
        <v>1270</v>
      </c>
      <c r="F6">
        <f t="shared" si="1"/>
        <v>63.163532492263755</v>
      </c>
      <c r="G6">
        <f t="shared" si="2"/>
        <v>36.836467507736245</v>
      </c>
      <c r="H6">
        <v>47</v>
      </c>
      <c r="I6">
        <v>24</v>
      </c>
      <c r="J6">
        <v>12</v>
      </c>
      <c r="K6">
        <f t="shared" si="3"/>
        <v>17</v>
      </c>
      <c r="O6" s="5">
        <f t="shared" si="11"/>
        <v>40999</v>
      </c>
      <c r="P6">
        <f t="shared" si="12"/>
        <v>1270</v>
      </c>
      <c r="Q6">
        <f t="shared" si="13"/>
        <v>62.754330659749982</v>
      </c>
      <c r="R6">
        <f t="shared" si="4"/>
        <v>37.245669340250018</v>
      </c>
      <c r="S6">
        <f t="shared" si="5"/>
        <v>47.6</v>
      </c>
      <c r="T6">
        <f t="shared" si="6"/>
        <v>25</v>
      </c>
      <c r="U6">
        <f t="shared" si="7"/>
        <v>11</v>
      </c>
      <c r="W6">
        <f t="shared" si="8"/>
        <v>62.516611944736688</v>
      </c>
      <c r="X6">
        <f t="shared" si="9"/>
        <v>37.483388055263312</v>
      </c>
      <c r="Y6" s="6">
        <v>48.704749999999997</v>
      </c>
      <c r="Z6" s="6">
        <v>26.162410000000001</v>
      </c>
      <c r="AA6" s="6">
        <v>11.537419999999999</v>
      </c>
      <c r="AC6" t="s">
        <v>0</v>
      </c>
      <c r="AD6">
        <v>0.4</v>
      </c>
      <c r="AE6">
        <f>bias!Q62</f>
        <v>-1.8121559939173491</v>
      </c>
      <c r="AF6">
        <f>bias!R62</f>
        <v>-3.344283984838464</v>
      </c>
      <c r="AG6">
        <f>bias!S62</f>
        <v>2.9574176234066858</v>
      </c>
      <c r="AI6" s="14"/>
      <c r="AJ6" s="69">
        <v>4</v>
      </c>
      <c r="AK6" s="66">
        <v>40999</v>
      </c>
      <c r="AL6" s="6">
        <v>47.6</v>
      </c>
      <c r="AM6" s="6">
        <v>48.7179</v>
      </c>
      <c r="AO6" s="69">
        <v>4</v>
      </c>
      <c r="AP6" s="66">
        <v>40999</v>
      </c>
      <c r="AQ6" s="6">
        <v>25</v>
      </c>
      <c r="AR6" s="6">
        <v>26.13814</v>
      </c>
      <c r="AT6" s="69">
        <v>4</v>
      </c>
      <c r="AU6" s="66">
        <v>40999</v>
      </c>
      <c r="AV6" s="6">
        <v>11</v>
      </c>
      <c r="AW6" s="6">
        <v>11.52027</v>
      </c>
    </row>
    <row r="7" spans="1:49" x14ac:dyDescent="0.25">
      <c r="A7" s="4">
        <v>41125</v>
      </c>
      <c r="B7" s="4" t="s">
        <v>1</v>
      </c>
      <c r="C7">
        <v>1270</v>
      </c>
      <c r="D7">
        <f t="shared" si="0"/>
        <v>1</v>
      </c>
      <c r="E7">
        <f t="shared" si="10"/>
        <v>1270</v>
      </c>
      <c r="F7">
        <f t="shared" si="1"/>
        <v>61.077425373134332</v>
      </c>
      <c r="G7">
        <f t="shared" si="2"/>
        <v>38.922574626865668</v>
      </c>
      <c r="H7">
        <v>47</v>
      </c>
      <c r="I7">
        <v>27</v>
      </c>
      <c r="J7">
        <v>12</v>
      </c>
      <c r="K7">
        <f t="shared" si="3"/>
        <v>14</v>
      </c>
      <c r="O7" s="5">
        <f t="shared" si="11"/>
        <v>41125</v>
      </c>
      <c r="P7">
        <f t="shared" si="12"/>
        <v>1270</v>
      </c>
      <c r="Q7">
        <f t="shared" si="13"/>
        <v>60.836757821048558</v>
      </c>
      <c r="R7">
        <f t="shared" si="4"/>
        <v>39.163242178951442</v>
      </c>
      <c r="S7">
        <f t="shared" si="5"/>
        <v>47.6</v>
      </c>
      <c r="T7">
        <f t="shared" si="6"/>
        <v>28</v>
      </c>
      <c r="U7">
        <f t="shared" si="7"/>
        <v>11</v>
      </c>
      <c r="W7">
        <f t="shared" si="8"/>
        <v>61.050123291299172</v>
      </c>
      <c r="X7">
        <f t="shared" si="9"/>
        <v>38.949876708700828</v>
      </c>
      <c r="Y7" s="6">
        <v>47.646250000000002</v>
      </c>
      <c r="Z7" s="6">
        <v>27.67475</v>
      </c>
      <c r="AA7" s="6">
        <v>10.90096</v>
      </c>
      <c r="AC7" t="s">
        <v>16</v>
      </c>
      <c r="AD7">
        <v>0.4</v>
      </c>
      <c r="AE7">
        <f>bias!U62</f>
        <v>-1.300673225800363</v>
      </c>
      <c r="AF7">
        <f>bias!V62</f>
        <v>1.6667132108879494</v>
      </c>
      <c r="AG7">
        <f>bias!W62</f>
        <v>-0.25384011137118678</v>
      </c>
      <c r="AI7" s="14"/>
      <c r="AJ7" s="69">
        <v>5</v>
      </c>
      <c r="AK7" s="66">
        <v>41125</v>
      </c>
      <c r="AL7" s="6">
        <v>47.6</v>
      </c>
      <c r="AM7" s="6">
        <v>47.778739999999999</v>
      </c>
      <c r="AO7" s="69">
        <v>5</v>
      </c>
      <c r="AP7" s="66">
        <v>41125</v>
      </c>
      <c r="AQ7" s="6">
        <v>28</v>
      </c>
      <c r="AR7" s="6">
        <v>27.510560000000002</v>
      </c>
      <c r="AT7" s="69">
        <v>5</v>
      </c>
      <c r="AU7" s="66">
        <v>41125</v>
      </c>
      <c r="AV7" s="6">
        <v>11</v>
      </c>
      <c r="AW7" s="6">
        <v>10.81752</v>
      </c>
    </row>
    <row r="8" spans="1:49" x14ac:dyDescent="0.25">
      <c r="A8" s="5">
        <v>41167</v>
      </c>
      <c r="B8" t="s">
        <v>2</v>
      </c>
      <c r="C8">
        <v>814</v>
      </c>
      <c r="D8">
        <f t="shared" si="0"/>
        <v>1.1000000000000001</v>
      </c>
      <c r="E8">
        <f t="shared" si="10"/>
        <v>895.40000000000009</v>
      </c>
      <c r="F8">
        <f t="shared" si="1"/>
        <v>58.527440063629129</v>
      </c>
      <c r="G8">
        <f t="shared" si="2"/>
        <v>41.472559936370871</v>
      </c>
      <c r="H8">
        <v>47</v>
      </c>
      <c r="I8">
        <v>31</v>
      </c>
      <c r="J8">
        <v>11</v>
      </c>
      <c r="K8">
        <f t="shared" si="3"/>
        <v>11</v>
      </c>
      <c r="O8" s="5">
        <f t="shared" si="11"/>
        <v>41167</v>
      </c>
      <c r="P8">
        <f t="shared" si="12"/>
        <v>895.40000000000009</v>
      </c>
      <c r="Q8">
        <f t="shared" si="13"/>
        <v>59.439383721446845</v>
      </c>
      <c r="R8">
        <f t="shared" si="4"/>
        <v>40.560616278553155</v>
      </c>
      <c r="S8" s="72">
        <f t="shared" si="5"/>
        <v>47.3</v>
      </c>
      <c r="T8" s="72">
        <f t="shared" si="6"/>
        <v>30</v>
      </c>
      <c r="U8" s="72">
        <f t="shared" si="7"/>
        <v>11.2</v>
      </c>
      <c r="W8">
        <f t="shared" si="8"/>
        <v>60.562944519248482</v>
      </c>
      <c r="X8">
        <f t="shared" si="9"/>
        <v>39.437055480751518</v>
      </c>
      <c r="Y8" s="6">
        <v>47.293419999999998</v>
      </c>
      <c r="Z8" s="6">
        <v>28.17886</v>
      </c>
      <c r="AA8" s="6">
        <v>10.68881</v>
      </c>
      <c r="AC8" t="s">
        <v>14</v>
      </c>
      <c r="AD8">
        <v>0.4</v>
      </c>
      <c r="AE8">
        <f>bias!AC62</f>
        <v>-0.60310200000000214</v>
      </c>
      <c r="AF8">
        <f>bias!AD62</f>
        <v>0.76767533333333426</v>
      </c>
      <c r="AG8">
        <f>bias!AE62</f>
        <v>0.39380400000000115</v>
      </c>
      <c r="AI8" s="14"/>
      <c r="AJ8" s="69">
        <v>6</v>
      </c>
      <c r="AK8" s="66">
        <v>41167</v>
      </c>
      <c r="AL8" s="6">
        <v>47.3</v>
      </c>
      <c r="AM8" s="6">
        <v>47.465679999999999</v>
      </c>
      <c r="AO8" s="69">
        <v>6</v>
      </c>
      <c r="AP8" s="66">
        <v>41167</v>
      </c>
      <c r="AQ8" s="6">
        <v>30</v>
      </c>
      <c r="AR8" s="6">
        <v>27.968029999999999</v>
      </c>
      <c r="AT8" s="69">
        <v>6</v>
      </c>
      <c r="AU8" s="66">
        <v>41167</v>
      </c>
      <c r="AV8" s="6">
        <v>11.2</v>
      </c>
      <c r="AW8" s="6">
        <v>10.583270000000001</v>
      </c>
    </row>
    <row r="9" spans="1:49" x14ac:dyDescent="0.25">
      <c r="A9" s="3">
        <v>41182</v>
      </c>
      <c r="B9" s="3" t="s">
        <v>1</v>
      </c>
      <c r="C9">
        <v>1270</v>
      </c>
      <c r="D9">
        <f t="shared" si="0"/>
        <v>1</v>
      </c>
      <c r="E9">
        <f t="shared" si="10"/>
        <v>1270</v>
      </c>
      <c r="F9">
        <f t="shared" si="1"/>
        <v>59.522970273763363</v>
      </c>
      <c r="G9">
        <f t="shared" si="2"/>
        <v>40.477029726236637</v>
      </c>
      <c r="H9">
        <v>45</v>
      </c>
      <c r="I9">
        <v>28</v>
      </c>
      <c r="J9">
        <v>11</v>
      </c>
      <c r="K9">
        <f t="shared" si="3"/>
        <v>16</v>
      </c>
      <c r="O9" s="5">
        <f t="shared" si="11"/>
        <v>41182</v>
      </c>
      <c r="P9">
        <f t="shared" si="12"/>
        <v>1270</v>
      </c>
      <c r="Q9">
        <f t="shared" si="13"/>
        <v>59.141498724917952</v>
      </c>
      <c r="R9">
        <f t="shared" si="4"/>
        <v>40.858501275082048</v>
      </c>
      <c r="S9">
        <f t="shared" si="5"/>
        <v>45.6</v>
      </c>
      <c r="T9">
        <f t="shared" si="6"/>
        <v>29</v>
      </c>
      <c r="U9">
        <f t="shared" si="7"/>
        <v>10</v>
      </c>
      <c r="W9">
        <f t="shared" si="8"/>
        <v>60.448804365199727</v>
      </c>
      <c r="X9">
        <f t="shared" si="9"/>
        <v>39.551195634800273</v>
      </c>
      <c r="Y9" s="6">
        <v>47.167400000000001</v>
      </c>
      <c r="Z9" s="6">
        <v>28.269970000000001</v>
      </c>
      <c r="AA9" s="6">
        <v>10.61304</v>
      </c>
      <c r="AC9" t="s">
        <v>17</v>
      </c>
      <c r="AD9">
        <v>0.4</v>
      </c>
      <c r="AE9">
        <f>bias!Y62</f>
        <v>-0.97573299003322234</v>
      </c>
      <c r="AF9">
        <f>bias!Z62</f>
        <v>-0.34052156146179513</v>
      </c>
      <c r="AG9">
        <f>bias!AA62</f>
        <v>-0.34943943521594711</v>
      </c>
      <c r="AI9" s="14"/>
      <c r="AJ9" s="69">
        <v>7</v>
      </c>
      <c r="AK9" s="66">
        <v>41182</v>
      </c>
      <c r="AL9" s="6">
        <v>45.6</v>
      </c>
      <c r="AM9" s="6">
        <v>47.353879999999997</v>
      </c>
      <c r="AO9" s="69">
        <v>7</v>
      </c>
      <c r="AP9" s="66">
        <v>41182</v>
      </c>
      <c r="AQ9" s="6">
        <v>29</v>
      </c>
      <c r="AR9" s="6">
        <v>28.131409999999999</v>
      </c>
      <c r="AT9" s="69">
        <v>7</v>
      </c>
      <c r="AU9" s="66">
        <v>41182</v>
      </c>
      <c r="AV9" s="6">
        <v>10</v>
      </c>
      <c r="AW9" s="6">
        <v>10.533910000000001</v>
      </c>
    </row>
    <row r="10" spans="1:49" x14ac:dyDescent="0.25">
      <c r="A10" s="3">
        <v>41237</v>
      </c>
      <c r="B10" s="3" t="s">
        <v>1</v>
      </c>
      <c r="C10">
        <v>1270</v>
      </c>
      <c r="D10">
        <f t="shared" si="0"/>
        <v>1</v>
      </c>
      <c r="E10">
        <f t="shared" si="10"/>
        <v>1270</v>
      </c>
      <c r="F10">
        <f t="shared" si="1"/>
        <v>58.851674641148321</v>
      </c>
      <c r="G10">
        <f t="shared" si="2"/>
        <v>41.148325358851679</v>
      </c>
      <c r="H10">
        <v>45</v>
      </c>
      <c r="I10">
        <v>29</v>
      </c>
      <c r="J10">
        <v>11</v>
      </c>
      <c r="K10">
        <f t="shared" si="3"/>
        <v>15</v>
      </c>
      <c r="O10" s="5">
        <f t="shared" si="11"/>
        <v>41237</v>
      </c>
      <c r="P10">
        <f t="shared" si="12"/>
        <v>1270</v>
      </c>
      <c r="Q10">
        <f t="shared" si="13"/>
        <v>58.525361518561489</v>
      </c>
      <c r="R10">
        <f t="shared" si="4"/>
        <v>41.474638481438511</v>
      </c>
      <c r="S10">
        <f t="shared" si="5"/>
        <v>45.6</v>
      </c>
      <c r="T10">
        <f t="shared" si="6"/>
        <v>30</v>
      </c>
      <c r="U10">
        <f t="shared" si="7"/>
        <v>10</v>
      </c>
      <c r="W10">
        <f t="shared" si="8"/>
        <v>60.13420671366594</v>
      </c>
      <c r="X10">
        <f t="shared" si="9"/>
        <v>39.86579328633406</v>
      </c>
      <c r="Y10" s="6">
        <v>47.095559999999999</v>
      </c>
      <c r="Z10" s="6">
        <v>28.72317</v>
      </c>
      <c r="AA10" s="6">
        <v>10.391019999999999</v>
      </c>
      <c r="AC10" t="s">
        <v>186</v>
      </c>
      <c r="AD10">
        <v>0.2</v>
      </c>
      <c r="AE10">
        <f>bias!AG62</f>
        <v>-2.4150011904761897</v>
      </c>
      <c r="AF10">
        <f>bias!AH62</f>
        <v>2.8806935714285693</v>
      </c>
      <c r="AG10">
        <f>bias!AI62</f>
        <v>8.2534047619048145E-2</v>
      </c>
      <c r="AJ10" s="69">
        <v>8</v>
      </c>
      <c r="AK10" s="66">
        <v>41237</v>
      </c>
      <c r="AL10" s="6">
        <v>45.6</v>
      </c>
      <c r="AM10" s="6">
        <v>47.285200000000003</v>
      </c>
      <c r="AO10" s="69">
        <v>8</v>
      </c>
      <c r="AP10" s="66">
        <v>41237</v>
      </c>
      <c r="AQ10" s="6">
        <v>30</v>
      </c>
      <c r="AR10" s="6">
        <v>28.59957</v>
      </c>
      <c r="AT10" s="69">
        <v>8</v>
      </c>
      <c r="AU10" s="66">
        <v>41237</v>
      </c>
      <c r="AV10" s="6">
        <v>10</v>
      </c>
      <c r="AW10" s="6">
        <v>10.32748</v>
      </c>
    </row>
    <row r="11" spans="1:49" x14ac:dyDescent="0.25">
      <c r="A11" s="5">
        <v>41242</v>
      </c>
      <c r="B11" t="s">
        <v>0</v>
      </c>
      <c r="C11">
        <v>320</v>
      </c>
      <c r="D11">
        <f t="shared" si="0"/>
        <v>0.4</v>
      </c>
      <c r="E11">
        <f t="shared" si="10"/>
        <v>128</v>
      </c>
      <c r="F11">
        <f t="shared" si="1"/>
        <v>60.741233910341762</v>
      </c>
      <c r="G11">
        <f t="shared" si="2"/>
        <v>39.258766089658238</v>
      </c>
      <c r="H11">
        <v>51</v>
      </c>
      <c r="I11">
        <v>31</v>
      </c>
      <c r="J11">
        <v>8</v>
      </c>
      <c r="K11">
        <f t="shared" si="3"/>
        <v>10</v>
      </c>
      <c r="O11" s="5">
        <f t="shared" si="11"/>
        <v>41242</v>
      </c>
      <c r="P11">
        <f t="shared" si="12"/>
        <v>128</v>
      </c>
      <c r="Q11">
        <f t="shared" si="13"/>
        <v>61.883861285068612</v>
      </c>
      <c r="R11">
        <f t="shared" si="4"/>
        <v>38.116138714931388</v>
      </c>
      <c r="S11" s="72">
        <f t="shared" si="5"/>
        <v>49.187844006082649</v>
      </c>
      <c r="T11" s="72">
        <f t="shared" si="6"/>
        <v>27.655716015161538</v>
      </c>
      <c r="U11" s="72">
        <f t="shared" si="7"/>
        <v>10.957417623406686</v>
      </c>
      <c r="W11">
        <f t="shared" si="8"/>
        <v>60.105676109889281</v>
      </c>
      <c r="X11">
        <f t="shared" si="9"/>
        <v>39.894323890110719</v>
      </c>
      <c r="Y11" s="6">
        <v>47.089019999999998</v>
      </c>
      <c r="Z11" s="6">
        <v>28.76437</v>
      </c>
      <c r="AA11" s="6">
        <v>10.370839999999999</v>
      </c>
      <c r="AJ11" s="69">
        <v>9</v>
      </c>
      <c r="AK11" s="66">
        <v>41242</v>
      </c>
      <c r="AL11" s="6">
        <v>49.783760000000001</v>
      </c>
      <c r="AM11" s="6">
        <v>47.278950000000002</v>
      </c>
      <c r="AO11" s="69">
        <v>9</v>
      </c>
      <c r="AP11" s="66">
        <v>41242</v>
      </c>
      <c r="AQ11" s="6">
        <v>28.164159999999999</v>
      </c>
      <c r="AR11" s="6">
        <v>28.642130000000002</v>
      </c>
      <c r="AT11" s="69">
        <v>9</v>
      </c>
      <c r="AU11" s="66">
        <v>41242</v>
      </c>
      <c r="AV11" s="6">
        <v>10.1739</v>
      </c>
      <c r="AW11" s="6">
        <v>10.30871</v>
      </c>
    </row>
    <row r="12" spans="1:49" x14ac:dyDescent="0.25">
      <c r="A12" s="3">
        <v>41307</v>
      </c>
      <c r="B12" s="3" t="s">
        <v>1</v>
      </c>
      <c r="C12">
        <v>1270</v>
      </c>
      <c r="D12">
        <f t="shared" si="0"/>
        <v>1</v>
      </c>
      <c r="E12">
        <f t="shared" si="10"/>
        <v>1270</v>
      </c>
      <c r="F12">
        <f t="shared" ref="F12:F19" si="14">(H12+((J12*0.18)+((100-SUM(H12:J12))*0.23)))/((I12+((J12*0.31)+((100-SUM(H12:J12))*0.19)))+(H12+((J12*0.18)+((100-SUM(H12:J12))*0.23))))*100</f>
        <v>60.697920338385615</v>
      </c>
      <c r="G12">
        <f t="shared" ref="G12:G19" si="15">100-F12</f>
        <v>39.302079661614385</v>
      </c>
      <c r="H12">
        <v>46</v>
      </c>
      <c r="I12">
        <v>27</v>
      </c>
      <c r="J12">
        <v>11</v>
      </c>
      <c r="K12">
        <f t="shared" si="3"/>
        <v>16</v>
      </c>
      <c r="O12" s="5">
        <f t="shared" si="11"/>
        <v>41307</v>
      </c>
      <c r="P12">
        <f t="shared" si="12"/>
        <v>1270</v>
      </c>
      <c r="Q12">
        <f t="shared" si="13"/>
        <v>60.304618829025578</v>
      </c>
      <c r="R12">
        <f t="shared" si="4"/>
        <v>39.695381170974422</v>
      </c>
      <c r="S12">
        <f t="shared" si="5"/>
        <v>46.6</v>
      </c>
      <c r="T12">
        <f t="shared" si="6"/>
        <v>28</v>
      </c>
      <c r="U12">
        <f t="shared" si="7"/>
        <v>10</v>
      </c>
      <c r="W12">
        <f t="shared" si="8"/>
        <v>59.965065148573558</v>
      </c>
      <c r="X12">
        <f t="shared" si="9"/>
        <v>40.034934851426442</v>
      </c>
      <c r="Y12" s="6">
        <v>47.194310000000002</v>
      </c>
      <c r="Z12" s="6">
        <v>29.083960000000001</v>
      </c>
      <c r="AA12" s="6">
        <v>10.17225</v>
      </c>
      <c r="AJ12" s="69">
        <v>10</v>
      </c>
      <c r="AK12" s="66">
        <v>41307</v>
      </c>
      <c r="AL12" s="6">
        <v>46.6</v>
      </c>
      <c r="AM12" s="6">
        <v>47.197789999999998</v>
      </c>
      <c r="AO12" s="69">
        <v>10</v>
      </c>
      <c r="AP12" s="66">
        <v>41307</v>
      </c>
      <c r="AQ12" s="6">
        <v>28</v>
      </c>
      <c r="AR12" s="6">
        <v>29.195399999999999</v>
      </c>
      <c r="AT12" s="69">
        <v>10</v>
      </c>
      <c r="AU12" s="66">
        <v>41307</v>
      </c>
      <c r="AV12" s="6">
        <v>10</v>
      </c>
      <c r="AW12" s="6">
        <v>10.093400000000001</v>
      </c>
    </row>
    <row r="13" spans="1:49" x14ac:dyDescent="0.25">
      <c r="A13" s="5">
        <v>41350</v>
      </c>
      <c r="B13" t="s">
        <v>0</v>
      </c>
      <c r="C13">
        <v>1044</v>
      </c>
      <c r="D13">
        <f t="shared" si="0"/>
        <v>0.4</v>
      </c>
      <c r="E13">
        <f t="shared" si="10"/>
        <v>417.6</v>
      </c>
      <c r="F13">
        <f t="shared" si="14"/>
        <v>58.421110987914403</v>
      </c>
      <c r="G13">
        <f t="shared" si="15"/>
        <v>41.578889012085597</v>
      </c>
      <c r="H13">
        <v>49</v>
      </c>
      <c r="I13">
        <v>33</v>
      </c>
      <c r="J13">
        <v>9</v>
      </c>
      <c r="K13">
        <f t="shared" si="3"/>
        <v>9</v>
      </c>
      <c r="O13" s="5">
        <f t="shared" si="11"/>
        <v>41350</v>
      </c>
      <c r="P13">
        <f t="shared" si="12"/>
        <v>417.6</v>
      </c>
      <c r="Q13">
        <f t="shared" si="13"/>
        <v>59.590662081810095</v>
      </c>
      <c r="R13">
        <f t="shared" si="4"/>
        <v>40.409337918189905</v>
      </c>
      <c r="S13" s="72">
        <f t="shared" si="5"/>
        <v>47.187844006082649</v>
      </c>
      <c r="T13" s="72">
        <f t="shared" si="6"/>
        <v>29.655716015161538</v>
      </c>
      <c r="U13" s="72">
        <f t="shared" si="7"/>
        <v>11.957417623406686</v>
      </c>
      <c r="W13">
        <f t="shared" si="8"/>
        <v>59.87245009357116</v>
      </c>
      <c r="X13">
        <f t="shared" si="9"/>
        <v>40.12754990642884</v>
      </c>
      <c r="Y13" s="6">
        <v>47.263959999999997</v>
      </c>
      <c r="Z13" s="6">
        <v>29.295390000000001</v>
      </c>
      <c r="AA13" s="6">
        <v>10.04088</v>
      </c>
      <c r="AJ13" s="69">
        <v>11</v>
      </c>
      <c r="AK13" s="66">
        <v>41350</v>
      </c>
      <c r="AL13" s="6">
        <v>47.783760000000001</v>
      </c>
      <c r="AM13" s="6">
        <v>47.296550000000003</v>
      </c>
      <c r="AO13" s="69">
        <v>11</v>
      </c>
      <c r="AP13" s="66">
        <v>41350</v>
      </c>
      <c r="AQ13" s="6">
        <v>30.164159999999999</v>
      </c>
      <c r="AR13" s="6">
        <v>29.40746</v>
      </c>
      <c r="AT13" s="69">
        <v>11</v>
      </c>
      <c r="AU13" s="66">
        <v>41350</v>
      </c>
      <c r="AV13" s="6">
        <v>11.1739</v>
      </c>
      <c r="AW13" s="6">
        <v>9.9524699999999999</v>
      </c>
    </row>
    <row r="14" spans="1:49" x14ac:dyDescent="0.25">
      <c r="A14" s="3">
        <v>41363</v>
      </c>
      <c r="B14" s="3" t="s">
        <v>1</v>
      </c>
      <c r="C14">
        <v>1270</v>
      </c>
      <c r="D14">
        <f t="shared" si="0"/>
        <v>1</v>
      </c>
      <c r="E14">
        <f t="shared" si="10"/>
        <v>1270</v>
      </c>
      <c r="F14">
        <f t="shared" si="14"/>
        <v>61.097026964738411</v>
      </c>
      <c r="G14">
        <f t="shared" si="15"/>
        <v>38.902973035261589</v>
      </c>
      <c r="H14">
        <v>48</v>
      </c>
      <c r="I14">
        <v>28</v>
      </c>
      <c r="J14">
        <v>10</v>
      </c>
      <c r="K14">
        <f t="shared" si="3"/>
        <v>14</v>
      </c>
      <c r="O14" s="5">
        <f t="shared" si="11"/>
        <v>41363</v>
      </c>
      <c r="P14">
        <f t="shared" si="12"/>
        <v>1270</v>
      </c>
      <c r="Q14">
        <f t="shared" si="13"/>
        <v>60.73978401330362</v>
      </c>
      <c r="R14">
        <f t="shared" si="4"/>
        <v>39.26021598669638</v>
      </c>
      <c r="S14">
        <f t="shared" si="5"/>
        <v>48.6</v>
      </c>
      <c r="T14">
        <f t="shared" si="6"/>
        <v>29</v>
      </c>
      <c r="U14">
        <f t="shared" si="7"/>
        <v>9</v>
      </c>
      <c r="W14">
        <f t="shared" si="8"/>
        <v>59.838097324308606</v>
      </c>
      <c r="X14">
        <f t="shared" si="9"/>
        <v>40.161902675691394</v>
      </c>
      <c r="Y14" s="6">
        <v>47.264380000000003</v>
      </c>
      <c r="Z14" s="6">
        <v>29.34948</v>
      </c>
      <c r="AA14" s="6">
        <v>10.028779999999999</v>
      </c>
      <c r="AJ14" s="69">
        <v>12</v>
      </c>
      <c r="AK14" s="66">
        <v>41363</v>
      </c>
      <c r="AL14" s="6">
        <v>48.6</v>
      </c>
      <c r="AM14" s="6">
        <v>47.326410000000003</v>
      </c>
      <c r="AO14" s="69">
        <v>12</v>
      </c>
      <c r="AP14" s="66">
        <v>41363</v>
      </c>
      <c r="AQ14" s="6">
        <v>29</v>
      </c>
      <c r="AR14" s="6">
        <v>29.47157</v>
      </c>
      <c r="AT14" s="69">
        <v>12</v>
      </c>
      <c r="AU14" s="66">
        <v>41363</v>
      </c>
      <c r="AV14" s="6">
        <v>9</v>
      </c>
      <c r="AW14" s="6">
        <v>9.9098600000000001</v>
      </c>
    </row>
    <row r="15" spans="1:49" x14ac:dyDescent="0.25">
      <c r="A15" s="3">
        <v>41426</v>
      </c>
      <c r="B15" s="3" t="s">
        <v>1</v>
      </c>
      <c r="C15">
        <v>1270</v>
      </c>
      <c r="D15">
        <f t="shared" si="0"/>
        <v>1</v>
      </c>
      <c r="E15">
        <f t="shared" si="10"/>
        <v>1270</v>
      </c>
      <c r="F15">
        <f t="shared" si="14"/>
        <v>60.400741255501501</v>
      </c>
      <c r="G15">
        <f t="shared" si="15"/>
        <v>39.599258744498499</v>
      </c>
      <c r="H15">
        <v>47</v>
      </c>
      <c r="I15">
        <v>28</v>
      </c>
      <c r="J15">
        <v>12</v>
      </c>
      <c r="K15">
        <f t="shared" si="3"/>
        <v>13</v>
      </c>
      <c r="O15" s="5">
        <f t="shared" si="11"/>
        <v>41426</v>
      </c>
      <c r="P15">
        <f t="shared" si="12"/>
        <v>1270</v>
      </c>
      <c r="Q15">
        <f t="shared" si="13"/>
        <v>60.213778321625547</v>
      </c>
      <c r="R15">
        <f t="shared" si="4"/>
        <v>39.786221678374453</v>
      </c>
      <c r="S15">
        <f t="shared" si="5"/>
        <v>47.6</v>
      </c>
      <c r="T15">
        <f t="shared" si="6"/>
        <v>29</v>
      </c>
      <c r="U15">
        <f t="shared" si="7"/>
        <v>11</v>
      </c>
      <c r="W15">
        <f t="shared" si="8"/>
        <v>59.671971326070263</v>
      </c>
      <c r="X15">
        <f t="shared" si="9"/>
        <v>40.328028673929737</v>
      </c>
      <c r="Y15" s="6">
        <v>47.26641</v>
      </c>
      <c r="Z15" s="6">
        <v>29.61159</v>
      </c>
      <c r="AA15" s="6">
        <v>9.9701400000000007</v>
      </c>
      <c r="AJ15" s="69">
        <v>13</v>
      </c>
      <c r="AK15" s="66">
        <v>41426</v>
      </c>
      <c r="AL15" s="6">
        <v>47.6</v>
      </c>
      <c r="AM15" s="6">
        <v>47.471110000000003</v>
      </c>
      <c r="AO15" s="69">
        <v>13</v>
      </c>
      <c r="AP15" s="66">
        <v>41426</v>
      </c>
      <c r="AQ15" s="6">
        <v>29</v>
      </c>
      <c r="AR15" s="6">
        <v>29.78227</v>
      </c>
      <c r="AT15" s="69">
        <v>13</v>
      </c>
      <c r="AU15" s="66">
        <v>41426</v>
      </c>
      <c r="AV15" s="6">
        <v>11</v>
      </c>
      <c r="AW15" s="6">
        <v>9.7646300000000004</v>
      </c>
    </row>
    <row r="16" spans="1:49" x14ac:dyDescent="0.25">
      <c r="A16" s="3">
        <v>41489</v>
      </c>
      <c r="B16" s="3" t="s">
        <v>1</v>
      </c>
      <c r="C16">
        <v>1270</v>
      </c>
      <c r="D16">
        <f t="shared" si="0"/>
        <v>1</v>
      </c>
      <c r="E16">
        <f t="shared" si="10"/>
        <v>1270</v>
      </c>
      <c r="F16">
        <f t="shared" si="14"/>
        <v>61.572802197802204</v>
      </c>
      <c r="G16">
        <f t="shared" si="15"/>
        <v>38.427197802197796</v>
      </c>
      <c r="H16">
        <v>49</v>
      </c>
      <c r="I16">
        <v>28</v>
      </c>
      <c r="J16">
        <v>10</v>
      </c>
      <c r="K16">
        <f t="shared" si="3"/>
        <v>13</v>
      </c>
      <c r="O16" s="5">
        <f t="shared" si="11"/>
        <v>41489</v>
      </c>
      <c r="P16">
        <f t="shared" si="12"/>
        <v>1270</v>
      </c>
      <c r="Q16">
        <f t="shared" si="13"/>
        <v>61.259202838639901</v>
      </c>
      <c r="R16">
        <f t="shared" si="4"/>
        <v>38.740797161360099</v>
      </c>
      <c r="S16">
        <f t="shared" si="5"/>
        <v>49.6</v>
      </c>
      <c r="T16">
        <f t="shared" si="6"/>
        <v>29</v>
      </c>
      <c r="U16">
        <f t="shared" si="7"/>
        <v>9</v>
      </c>
      <c r="W16">
        <f t="shared" si="8"/>
        <v>59.289132365406182</v>
      </c>
      <c r="X16">
        <f t="shared" si="9"/>
        <v>40.710867634593818</v>
      </c>
      <c r="Y16" s="6">
        <v>47.268439999999998</v>
      </c>
      <c r="Z16" s="6">
        <v>30.204750000000001</v>
      </c>
      <c r="AA16" s="6">
        <v>9.9114900000000006</v>
      </c>
      <c r="AJ16" s="69">
        <v>14</v>
      </c>
      <c r="AK16" s="66">
        <v>41489</v>
      </c>
      <c r="AL16" s="6">
        <v>49.6</v>
      </c>
      <c r="AM16" s="6">
        <v>47.249130000000001</v>
      </c>
      <c r="AO16" s="69">
        <v>14</v>
      </c>
      <c r="AP16" s="66">
        <v>41489</v>
      </c>
      <c r="AQ16" s="6">
        <v>29</v>
      </c>
      <c r="AR16" s="6">
        <v>30.393160000000002</v>
      </c>
      <c r="AT16" s="69">
        <v>14</v>
      </c>
      <c r="AU16" s="66">
        <v>41489</v>
      </c>
      <c r="AV16" s="6">
        <v>9</v>
      </c>
      <c r="AW16" s="6">
        <v>9.7179199999999994</v>
      </c>
    </row>
    <row r="17" spans="1:49" x14ac:dyDescent="0.25">
      <c r="A17" s="3">
        <v>41552</v>
      </c>
      <c r="B17" s="3" t="s">
        <v>1</v>
      </c>
      <c r="C17">
        <v>1270</v>
      </c>
      <c r="D17">
        <f t="shared" si="0"/>
        <v>1</v>
      </c>
      <c r="E17">
        <f t="shared" si="10"/>
        <v>1270</v>
      </c>
      <c r="F17">
        <f t="shared" si="14"/>
        <v>56.994047619047613</v>
      </c>
      <c r="G17">
        <f t="shared" si="15"/>
        <v>43.005952380952387</v>
      </c>
      <c r="H17">
        <v>45</v>
      </c>
      <c r="I17">
        <v>32</v>
      </c>
      <c r="J17">
        <v>10</v>
      </c>
      <c r="K17">
        <f t="shared" si="3"/>
        <v>13</v>
      </c>
      <c r="O17" s="5">
        <f t="shared" si="11"/>
        <v>41552</v>
      </c>
      <c r="P17">
        <f t="shared" si="12"/>
        <v>1270</v>
      </c>
      <c r="Q17">
        <f t="shared" si="13"/>
        <v>56.72324308784372</v>
      </c>
      <c r="R17">
        <f t="shared" si="4"/>
        <v>43.27675691215628</v>
      </c>
      <c r="S17">
        <f t="shared" si="5"/>
        <v>45.6</v>
      </c>
      <c r="T17">
        <f t="shared" si="6"/>
        <v>33</v>
      </c>
      <c r="U17">
        <f t="shared" si="7"/>
        <v>9</v>
      </c>
      <c r="W17">
        <f t="shared" si="8"/>
        <v>58.547563237263347</v>
      </c>
      <c r="X17">
        <f t="shared" si="9"/>
        <v>41.452436762736653</v>
      </c>
      <c r="Y17" s="6">
        <v>46.714230000000001</v>
      </c>
      <c r="Z17" s="6">
        <v>30.911740000000002</v>
      </c>
      <c r="AA17" s="6">
        <v>10.00595</v>
      </c>
      <c r="AJ17" s="69">
        <v>15</v>
      </c>
      <c r="AK17" s="66">
        <v>41552</v>
      </c>
      <c r="AL17" s="6">
        <v>45.6</v>
      </c>
      <c r="AM17" s="6">
        <v>47.027140000000003</v>
      </c>
      <c r="AO17" s="69">
        <v>15</v>
      </c>
      <c r="AP17" s="66">
        <v>41552</v>
      </c>
      <c r="AQ17" s="6">
        <v>33</v>
      </c>
      <c r="AR17" s="6">
        <v>31.004059999999999</v>
      </c>
      <c r="AT17" s="69">
        <v>15</v>
      </c>
      <c r="AU17" s="66">
        <v>41552</v>
      </c>
      <c r="AV17" s="6">
        <v>9</v>
      </c>
      <c r="AW17" s="6">
        <v>9.6712100000000003</v>
      </c>
    </row>
    <row r="18" spans="1:49" x14ac:dyDescent="0.25">
      <c r="A18" s="5">
        <v>41595</v>
      </c>
      <c r="B18" t="s">
        <v>0</v>
      </c>
      <c r="C18">
        <v>1275</v>
      </c>
      <c r="D18">
        <f t="shared" si="0"/>
        <v>0.4</v>
      </c>
      <c r="E18">
        <f t="shared" si="10"/>
        <v>510</v>
      </c>
      <c r="F18">
        <f t="shared" si="14"/>
        <v>58.5219707057257</v>
      </c>
      <c r="G18">
        <f t="shared" si="15"/>
        <v>41.4780292942743</v>
      </c>
      <c r="H18">
        <v>49</v>
      </c>
      <c r="I18">
        <v>33</v>
      </c>
      <c r="J18">
        <v>8</v>
      </c>
      <c r="K18">
        <f t="shared" si="3"/>
        <v>10</v>
      </c>
      <c r="O18" s="5">
        <f t="shared" si="11"/>
        <v>41595</v>
      </c>
      <c r="P18">
        <f t="shared" si="12"/>
        <v>510</v>
      </c>
      <c r="Q18">
        <f t="shared" si="13"/>
        <v>59.590662081810095</v>
      </c>
      <c r="R18">
        <f t="shared" si="4"/>
        <v>40.409337918189905</v>
      </c>
      <c r="S18" s="72">
        <f t="shared" si="5"/>
        <v>47.187844006082649</v>
      </c>
      <c r="T18" s="72">
        <f t="shared" si="6"/>
        <v>29.655716015161538</v>
      </c>
      <c r="U18" s="72">
        <f t="shared" si="7"/>
        <v>10.957417623406686</v>
      </c>
      <c r="W18">
        <f t="shared" si="8"/>
        <v>58.042334731686793</v>
      </c>
      <c r="X18">
        <f t="shared" si="9"/>
        <v>41.957665268313207</v>
      </c>
      <c r="Y18" s="6">
        <v>46.335970000000003</v>
      </c>
      <c r="Z18" s="6">
        <v>31.394300000000001</v>
      </c>
      <c r="AA18" s="6">
        <v>10.07042</v>
      </c>
      <c r="AJ18" s="69">
        <v>16</v>
      </c>
      <c r="AK18" s="66">
        <v>41595</v>
      </c>
      <c r="AL18" s="6">
        <v>47.783760000000001</v>
      </c>
      <c r="AM18" s="6">
        <v>46.487360000000002</v>
      </c>
      <c r="AO18" s="69">
        <v>16</v>
      </c>
      <c r="AP18" s="66">
        <v>41595</v>
      </c>
      <c r="AQ18" s="6">
        <v>30.164159999999999</v>
      </c>
      <c r="AR18" s="6">
        <v>31.558800000000002</v>
      </c>
      <c r="AT18" s="69">
        <v>16</v>
      </c>
      <c r="AU18" s="66">
        <v>41595</v>
      </c>
      <c r="AV18" s="6">
        <v>10.1739</v>
      </c>
      <c r="AW18" s="6">
        <v>9.7360799999999994</v>
      </c>
    </row>
    <row r="19" spans="1:49" x14ac:dyDescent="0.25">
      <c r="A19" s="5">
        <v>41616</v>
      </c>
      <c r="B19" t="s">
        <v>0</v>
      </c>
      <c r="C19">
        <v>973</v>
      </c>
      <c r="D19">
        <f t="shared" si="0"/>
        <v>0.4</v>
      </c>
      <c r="E19">
        <f t="shared" si="10"/>
        <v>389.20000000000005</v>
      </c>
      <c r="F19">
        <f t="shared" si="14"/>
        <v>54.082893406716835</v>
      </c>
      <c r="G19">
        <f t="shared" si="15"/>
        <v>45.917106593283165</v>
      </c>
      <c r="H19">
        <v>44</v>
      </c>
      <c r="I19">
        <v>36</v>
      </c>
      <c r="J19">
        <v>9</v>
      </c>
      <c r="K19">
        <f t="shared" si="3"/>
        <v>11</v>
      </c>
      <c r="O19" s="5">
        <f t="shared" si="11"/>
        <v>41616</v>
      </c>
      <c r="P19">
        <f t="shared" si="12"/>
        <v>389.20000000000005</v>
      </c>
      <c r="Q19">
        <f t="shared" si="13"/>
        <v>55.028155271474567</v>
      </c>
      <c r="R19">
        <f t="shared" si="4"/>
        <v>44.971844728525433</v>
      </c>
      <c r="S19" s="72">
        <f t="shared" si="5"/>
        <v>42.187844006082649</v>
      </c>
      <c r="T19" s="72">
        <f t="shared" si="6"/>
        <v>32.655716015161538</v>
      </c>
      <c r="U19" s="72">
        <f t="shared" si="7"/>
        <v>11.957417623406686</v>
      </c>
      <c r="W19">
        <f t="shared" si="8"/>
        <v>57.671619900243279</v>
      </c>
      <c r="X19">
        <f t="shared" si="9"/>
        <v>42.328380099756721</v>
      </c>
      <c r="Y19" s="6">
        <v>45.979579999999999</v>
      </c>
      <c r="Z19" s="6">
        <v>31.681979999999999</v>
      </c>
      <c r="AA19" s="6">
        <v>10.15719</v>
      </c>
      <c r="AJ19" s="69">
        <v>17</v>
      </c>
      <c r="AK19" s="66">
        <v>41616</v>
      </c>
      <c r="AL19" s="6">
        <v>42.783760000000001</v>
      </c>
      <c r="AM19" s="6">
        <v>46.223739999999999</v>
      </c>
      <c r="AO19" s="69">
        <v>17</v>
      </c>
      <c r="AP19" s="66">
        <v>41616</v>
      </c>
      <c r="AQ19" s="6">
        <v>33.164160000000003</v>
      </c>
      <c r="AR19" s="6">
        <v>31.829719999999998</v>
      </c>
      <c r="AT19" s="69">
        <v>17</v>
      </c>
      <c r="AU19" s="66">
        <v>41616</v>
      </c>
      <c r="AV19" s="6">
        <v>11.1739</v>
      </c>
      <c r="AW19" s="6">
        <v>9.7677499999999995</v>
      </c>
    </row>
    <row r="20" spans="1:49" x14ac:dyDescent="0.25">
      <c r="A20" s="5">
        <v>41658</v>
      </c>
      <c r="B20" t="s">
        <v>0</v>
      </c>
      <c r="C20">
        <v>1130</v>
      </c>
      <c r="D20">
        <f t="shared" si="0"/>
        <v>0.4</v>
      </c>
      <c r="E20">
        <f t="shared" si="10"/>
        <v>452</v>
      </c>
      <c r="F20">
        <f t="shared" ref="F20:F26" si="16">(H20+((J20*0.18)+((100-SUM(H20:J20))*0.23)))/((I20+((J20*0.31)+((100-SUM(H20:J20))*0.19)))+(H20+((J20*0.18)+((100-SUM(H20:J20))*0.23))))*100</f>
        <v>58.041098950189863</v>
      </c>
      <c r="G20">
        <f t="shared" ref="G20:G26" si="17">100-F20</f>
        <v>41.958901049810137</v>
      </c>
      <c r="H20">
        <v>48</v>
      </c>
      <c r="I20">
        <v>33</v>
      </c>
      <c r="J20">
        <v>8</v>
      </c>
      <c r="K20">
        <f t="shared" ref="K20:K26" si="18">100-SUM(H20:J20)</f>
        <v>11</v>
      </c>
      <c r="O20" s="5">
        <f t="shared" si="11"/>
        <v>41658</v>
      </c>
      <c r="P20">
        <f t="shared" si="12"/>
        <v>452</v>
      </c>
      <c r="Q20">
        <f t="shared" si="13"/>
        <v>59.054800103282815</v>
      </c>
      <c r="R20">
        <f t="shared" si="4"/>
        <v>40.945199896717185</v>
      </c>
      <c r="S20" s="72">
        <f t="shared" si="5"/>
        <v>46.187844006082649</v>
      </c>
      <c r="T20" s="72">
        <f t="shared" si="6"/>
        <v>29.655716015161538</v>
      </c>
      <c r="U20" s="72">
        <f t="shared" si="7"/>
        <v>10.957417623406686</v>
      </c>
      <c r="W20">
        <f t="shared" si="8"/>
        <v>56.92932064370256</v>
      </c>
      <c r="X20">
        <f t="shared" si="9"/>
        <v>43.07067935629744</v>
      </c>
      <c r="Y20" s="6">
        <v>45.266800000000003</v>
      </c>
      <c r="Z20" s="6">
        <v>32.257359999999998</v>
      </c>
      <c r="AA20" s="6">
        <v>10.330730000000001</v>
      </c>
      <c r="AJ20" s="69">
        <v>18</v>
      </c>
      <c r="AK20" s="66">
        <v>41658</v>
      </c>
      <c r="AL20" s="6">
        <v>46.783760000000001</v>
      </c>
      <c r="AM20" s="6">
        <v>45.561610000000002</v>
      </c>
      <c r="AO20" s="69">
        <v>18</v>
      </c>
      <c r="AP20" s="66">
        <v>41658</v>
      </c>
      <c r="AQ20" s="6">
        <v>30.164159999999999</v>
      </c>
      <c r="AR20" s="6">
        <v>32.371180000000003</v>
      </c>
      <c r="AT20" s="69">
        <v>18</v>
      </c>
      <c r="AU20" s="66">
        <v>41658</v>
      </c>
      <c r="AV20" s="6">
        <v>10.1739</v>
      </c>
      <c r="AW20" s="6">
        <v>9.9896999999999991</v>
      </c>
    </row>
    <row r="21" spans="1:49" x14ac:dyDescent="0.25">
      <c r="A21" s="1">
        <v>41678</v>
      </c>
      <c r="B21" s="2" t="s">
        <v>1</v>
      </c>
      <c r="C21">
        <v>1270</v>
      </c>
      <c r="D21">
        <f t="shared" si="0"/>
        <v>1</v>
      </c>
      <c r="E21">
        <f t="shared" si="10"/>
        <v>1270</v>
      </c>
      <c r="F21">
        <f t="shared" si="16"/>
        <v>58.13873626373627</v>
      </c>
      <c r="G21">
        <f t="shared" si="17"/>
        <v>41.86126373626373</v>
      </c>
      <c r="H21">
        <v>46</v>
      </c>
      <c r="I21">
        <v>31</v>
      </c>
      <c r="J21">
        <v>10</v>
      </c>
      <c r="K21">
        <f t="shared" si="18"/>
        <v>13</v>
      </c>
      <c r="O21" s="5">
        <f t="shared" si="11"/>
        <v>41678</v>
      </c>
      <c r="P21">
        <f t="shared" si="12"/>
        <v>1270</v>
      </c>
      <c r="Q21">
        <f t="shared" si="13"/>
        <v>57.857233025542762</v>
      </c>
      <c r="R21">
        <f t="shared" si="4"/>
        <v>42.142766974457238</v>
      </c>
      <c r="S21" s="72">
        <f t="shared" si="5"/>
        <v>46.6</v>
      </c>
      <c r="T21" s="72">
        <f t="shared" si="6"/>
        <v>32</v>
      </c>
      <c r="U21" s="72">
        <f t="shared" si="7"/>
        <v>9</v>
      </c>
      <c r="W21">
        <f t="shared" si="8"/>
        <v>56.711961205646347</v>
      </c>
      <c r="X21">
        <f t="shared" si="9"/>
        <v>43.288038794353653</v>
      </c>
      <c r="Y21" s="6">
        <v>45.01811</v>
      </c>
      <c r="Z21" s="6">
        <v>32.375839999999997</v>
      </c>
      <c r="AA21" s="6">
        <v>10.494440000000001</v>
      </c>
      <c r="AJ21" s="69">
        <v>19</v>
      </c>
      <c r="AK21" s="66">
        <v>41678</v>
      </c>
      <c r="AL21" s="6">
        <v>46.6</v>
      </c>
      <c r="AM21" s="6">
        <v>45.246310000000001</v>
      </c>
      <c r="AO21" s="69">
        <v>19</v>
      </c>
      <c r="AP21" s="66">
        <v>41678</v>
      </c>
      <c r="AQ21" s="6">
        <v>32</v>
      </c>
      <c r="AR21" s="6">
        <v>32.629019999999997</v>
      </c>
      <c r="AT21" s="69">
        <v>19</v>
      </c>
      <c r="AU21" s="66">
        <v>41678</v>
      </c>
      <c r="AV21" s="6">
        <v>9</v>
      </c>
      <c r="AW21" s="6">
        <v>10.09539</v>
      </c>
    </row>
    <row r="22" spans="1:49" x14ac:dyDescent="0.25">
      <c r="A22" s="5">
        <v>41686</v>
      </c>
      <c r="B22" t="s">
        <v>0</v>
      </c>
      <c r="C22">
        <v>1258</v>
      </c>
      <c r="D22">
        <f t="shared" si="0"/>
        <v>0.4</v>
      </c>
      <c r="E22">
        <f t="shared" si="10"/>
        <v>503.20000000000005</v>
      </c>
      <c r="F22">
        <f t="shared" si="16"/>
        <v>55.6890848952591</v>
      </c>
      <c r="G22">
        <f t="shared" si="17"/>
        <v>44.3109151047409</v>
      </c>
      <c r="H22">
        <v>47</v>
      </c>
      <c r="I22">
        <v>36</v>
      </c>
      <c r="J22">
        <v>8</v>
      </c>
      <c r="K22">
        <f t="shared" si="18"/>
        <v>9</v>
      </c>
      <c r="O22" s="5">
        <f t="shared" si="11"/>
        <v>41686</v>
      </c>
      <c r="P22">
        <f t="shared" si="12"/>
        <v>503.20000000000005</v>
      </c>
      <c r="Q22">
        <f t="shared" si="13"/>
        <v>56.701622832571388</v>
      </c>
      <c r="R22">
        <f t="shared" si="4"/>
        <v>43.298377167428612</v>
      </c>
      <c r="S22" s="72">
        <f t="shared" si="5"/>
        <v>45.187844006082649</v>
      </c>
      <c r="T22" s="72">
        <f t="shared" si="6"/>
        <v>32.655716015161538</v>
      </c>
      <c r="U22" s="72">
        <f t="shared" si="7"/>
        <v>10.957417623406686</v>
      </c>
      <c r="W22">
        <f t="shared" si="8"/>
        <v>56.624927057400001</v>
      </c>
      <c r="X22">
        <f t="shared" si="9"/>
        <v>43.375072942599999</v>
      </c>
      <c r="Y22" s="6">
        <v>44.91863</v>
      </c>
      <c r="Z22" s="6">
        <v>32.423229999999997</v>
      </c>
      <c r="AA22" s="6">
        <v>10.55993</v>
      </c>
      <c r="AJ22" s="69">
        <v>20</v>
      </c>
      <c r="AK22" s="66">
        <v>41686</v>
      </c>
      <c r="AL22" s="6">
        <v>45.783760000000001</v>
      </c>
      <c r="AM22" s="6">
        <v>45.120190000000001</v>
      </c>
      <c r="AO22" s="69">
        <v>20</v>
      </c>
      <c r="AP22" s="66">
        <v>41686</v>
      </c>
      <c r="AQ22" s="6">
        <v>33.164160000000003</v>
      </c>
      <c r="AR22" s="6">
        <v>32.73216</v>
      </c>
      <c r="AT22" s="69">
        <v>20</v>
      </c>
      <c r="AU22" s="66">
        <v>41686</v>
      </c>
      <c r="AV22" s="6">
        <v>10.1739</v>
      </c>
      <c r="AW22" s="6">
        <v>10.15849</v>
      </c>
    </row>
    <row r="23" spans="1:49" x14ac:dyDescent="0.25">
      <c r="A23" s="5">
        <v>41714</v>
      </c>
      <c r="B23" t="s">
        <v>0</v>
      </c>
      <c r="C23">
        <v>1007</v>
      </c>
      <c r="D23">
        <f t="shared" si="0"/>
        <v>0.4</v>
      </c>
      <c r="E23">
        <f t="shared" si="10"/>
        <v>402.8</v>
      </c>
      <c r="F23">
        <f t="shared" si="16"/>
        <v>54.586549062844547</v>
      </c>
      <c r="G23">
        <f t="shared" si="17"/>
        <v>45.413450937155453</v>
      </c>
      <c r="H23">
        <v>46</v>
      </c>
      <c r="I23">
        <v>37</v>
      </c>
      <c r="J23">
        <v>8</v>
      </c>
      <c r="K23">
        <f t="shared" si="18"/>
        <v>9</v>
      </c>
      <c r="O23" s="5">
        <f t="shared" si="11"/>
        <v>41714</v>
      </c>
      <c r="P23">
        <f t="shared" si="12"/>
        <v>402.8</v>
      </c>
      <c r="Q23">
        <f t="shared" si="13"/>
        <v>55.562236497874416</v>
      </c>
      <c r="R23">
        <f t="shared" si="4"/>
        <v>44.437763502125584</v>
      </c>
      <c r="S23" s="72">
        <f t="shared" si="5"/>
        <v>44.187844006082649</v>
      </c>
      <c r="T23" s="72">
        <f t="shared" si="6"/>
        <v>33.655716015161538</v>
      </c>
      <c r="U23" s="72">
        <f t="shared" si="7"/>
        <v>10.957417623406686</v>
      </c>
      <c r="W23">
        <f t="shared" si="8"/>
        <v>56.271507314852656</v>
      </c>
      <c r="X23">
        <f t="shared" si="9"/>
        <v>43.728492685147344</v>
      </c>
      <c r="Y23" s="6">
        <v>44.570450000000001</v>
      </c>
      <c r="Z23" s="6">
        <v>32.665219999999998</v>
      </c>
      <c r="AA23" s="6">
        <v>10.78913</v>
      </c>
      <c r="AJ23" s="69">
        <v>21</v>
      </c>
      <c r="AK23" s="66">
        <v>41714</v>
      </c>
      <c r="AL23" s="6">
        <v>44.783760000000001</v>
      </c>
      <c r="AM23" s="6">
        <v>44.717489999999998</v>
      </c>
      <c r="AO23" s="69">
        <v>21</v>
      </c>
      <c r="AP23" s="66">
        <v>41714</v>
      </c>
      <c r="AQ23" s="6">
        <v>34.164160000000003</v>
      </c>
      <c r="AR23" s="6">
        <v>32.98807</v>
      </c>
      <c r="AT23" s="69">
        <v>21</v>
      </c>
      <c r="AU23" s="66">
        <v>41714</v>
      </c>
      <c r="AV23" s="6">
        <v>10.1739</v>
      </c>
      <c r="AW23" s="6">
        <v>10.39179</v>
      </c>
    </row>
    <row r="24" spans="1:49" x14ac:dyDescent="0.25">
      <c r="A24" s="5">
        <v>41749</v>
      </c>
      <c r="B24" t="s">
        <v>0</v>
      </c>
      <c r="C24">
        <v>1587</v>
      </c>
      <c r="D24">
        <f t="shared" si="0"/>
        <v>0.4</v>
      </c>
      <c r="E24">
        <f t="shared" si="10"/>
        <v>634.80000000000007</v>
      </c>
      <c r="F24">
        <f t="shared" si="16"/>
        <v>55.193075898801602</v>
      </c>
      <c r="G24">
        <f t="shared" si="17"/>
        <v>44.806924101198398</v>
      </c>
      <c r="H24">
        <v>46</v>
      </c>
      <c r="I24">
        <v>36</v>
      </c>
      <c r="J24">
        <v>8</v>
      </c>
      <c r="K24">
        <f t="shared" si="18"/>
        <v>10</v>
      </c>
      <c r="O24" s="5">
        <f t="shared" si="11"/>
        <v>41749</v>
      </c>
      <c r="P24">
        <f t="shared" si="12"/>
        <v>634.80000000000007</v>
      </c>
      <c r="Q24">
        <f t="shared" si="13"/>
        <v>56.150863276922337</v>
      </c>
      <c r="R24">
        <f t="shared" si="4"/>
        <v>43.849136723077663</v>
      </c>
      <c r="S24" s="72">
        <f t="shared" si="5"/>
        <v>44.187844006082649</v>
      </c>
      <c r="T24" s="72">
        <f t="shared" si="6"/>
        <v>32.655716015161538</v>
      </c>
      <c r="U24" s="72">
        <f t="shared" si="7"/>
        <v>10.957417623406686</v>
      </c>
      <c r="W24">
        <f t="shared" si="8"/>
        <v>55.644514144153469</v>
      </c>
      <c r="X24">
        <f t="shared" si="9"/>
        <v>44.355485855846531</v>
      </c>
      <c r="Y24" s="6">
        <v>43.997909999999997</v>
      </c>
      <c r="Z24" s="6">
        <v>33.15502</v>
      </c>
      <c r="AA24" s="6">
        <v>11.03801</v>
      </c>
      <c r="AJ24" s="69">
        <v>22</v>
      </c>
      <c r="AK24" s="66">
        <v>41749</v>
      </c>
      <c r="AL24" s="6">
        <v>44.783760000000001</v>
      </c>
      <c r="AM24" s="6">
        <v>44.214109999999998</v>
      </c>
      <c r="AO24" s="69">
        <v>22</v>
      </c>
      <c r="AP24" s="66">
        <v>41749</v>
      </c>
      <c r="AQ24" s="6">
        <v>33.164160000000003</v>
      </c>
      <c r="AR24" s="6">
        <v>33.307949999999998</v>
      </c>
      <c r="AT24" s="69">
        <v>22</v>
      </c>
      <c r="AU24" s="66">
        <v>41749</v>
      </c>
      <c r="AV24" s="6">
        <v>10.1739</v>
      </c>
      <c r="AW24" s="6">
        <v>10.68341</v>
      </c>
    </row>
    <row r="25" spans="1:49" x14ac:dyDescent="0.25">
      <c r="A25" s="5">
        <v>41777</v>
      </c>
      <c r="B25" t="s">
        <v>0</v>
      </c>
      <c r="C25">
        <v>1293</v>
      </c>
      <c r="D25">
        <f t="shared" si="0"/>
        <v>0.4</v>
      </c>
      <c r="E25">
        <f t="shared" si="10"/>
        <v>517.20000000000005</v>
      </c>
      <c r="F25">
        <f t="shared" si="16"/>
        <v>51.836459620352692</v>
      </c>
      <c r="G25">
        <f t="shared" si="17"/>
        <v>48.163540379647308</v>
      </c>
      <c r="H25">
        <v>42</v>
      </c>
      <c r="I25">
        <v>38</v>
      </c>
      <c r="J25">
        <v>9</v>
      </c>
      <c r="K25">
        <f t="shared" si="18"/>
        <v>11</v>
      </c>
      <c r="O25" s="5">
        <f t="shared" si="11"/>
        <v>41777</v>
      </c>
      <c r="P25">
        <f t="shared" si="12"/>
        <v>517.20000000000005</v>
      </c>
      <c r="Q25">
        <f t="shared" si="13"/>
        <v>52.705547980976341</v>
      </c>
      <c r="R25">
        <f t="shared" si="4"/>
        <v>47.294452019023659</v>
      </c>
      <c r="S25" s="72">
        <f t="shared" si="5"/>
        <v>40.187844006082649</v>
      </c>
      <c r="T25" s="72">
        <f t="shared" si="6"/>
        <v>34.655716015161538</v>
      </c>
      <c r="U25" s="72">
        <f t="shared" si="7"/>
        <v>11.957417623406686</v>
      </c>
      <c r="W25">
        <f t="shared" si="8"/>
        <v>55.142604605605513</v>
      </c>
      <c r="X25">
        <f t="shared" si="9"/>
        <v>44.857395394394487</v>
      </c>
      <c r="Y25" s="6">
        <v>43.539879999999997</v>
      </c>
      <c r="Z25" s="6">
        <v>33.546860000000002</v>
      </c>
      <c r="AA25" s="6">
        <v>11.237120000000001</v>
      </c>
      <c r="AJ25" s="69">
        <v>23</v>
      </c>
      <c r="AK25" s="66">
        <v>41777</v>
      </c>
      <c r="AL25" s="6">
        <v>40.783760000000001</v>
      </c>
      <c r="AM25" s="6">
        <v>43.811399999999999</v>
      </c>
      <c r="AO25" s="69">
        <v>23</v>
      </c>
      <c r="AP25" s="66">
        <v>41777</v>
      </c>
      <c r="AQ25" s="6">
        <v>35.164160000000003</v>
      </c>
      <c r="AR25" s="6">
        <v>33.563859999999998</v>
      </c>
      <c r="AT25" s="69">
        <v>23</v>
      </c>
      <c r="AU25" s="66">
        <v>41777</v>
      </c>
      <c r="AV25" s="6">
        <v>11.1739</v>
      </c>
      <c r="AW25" s="6">
        <v>11.046849999999999</v>
      </c>
    </row>
    <row r="26" spans="1:49" x14ac:dyDescent="0.25">
      <c r="A26" s="5">
        <v>41786</v>
      </c>
      <c r="B26" t="s">
        <v>2</v>
      </c>
      <c r="C26">
        <v>1000</v>
      </c>
      <c r="D26">
        <f t="shared" si="0"/>
        <v>1.1000000000000001</v>
      </c>
      <c r="E26">
        <f t="shared" si="10"/>
        <v>1100</v>
      </c>
      <c r="F26">
        <f t="shared" si="16"/>
        <v>52.764382639901321</v>
      </c>
      <c r="G26">
        <f t="shared" si="17"/>
        <v>47.235617360098679</v>
      </c>
      <c r="H26">
        <v>43</v>
      </c>
      <c r="I26">
        <v>37</v>
      </c>
      <c r="J26">
        <v>11</v>
      </c>
      <c r="K26">
        <f t="shared" si="18"/>
        <v>9</v>
      </c>
      <c r="O26" s="5">
        <f t="shared" si="11"/>
        <v>41786</v>
      </c>
      <c r="P26">
        <f t="shared" si="12"/>
        <v>1100</v>
      </c>
      <c r="Q26">
        <f t="shared" si="13"/>
        <v>53.715652157753013</v>
      </c>
      <c r="R26">
        <f t="shared" si="4"/>
        <v>46.284347842246987</v>
      </c>
      <c r="S26" s="72">
        <f t="shared" si="5"/>
        <v>43.3</v>
      </c>
      <c r="T26" s="72">
        <f t="shared" si="6"/>
        <v>36</v>
      </c>
      <c r="U26" s="72">
        <f t="shared" si="7"/>
        <v>11.2</v>
      </c>
      <c r="W26">
        <f t="shared" si="8"/>
        <v>54.95829269868738</v>
      </c>
      <c r="X26">
        <f t="shared" si="9"/>
        <v>45.04170730131262</v>
      </c>
      <c r="Y26" s="6">
        <v>43.310809999999996</v>
      </c>
      <c r="Z26" s="6">
        <v>33.644970000000001</v>
      </c>
      <c r="AA26" s="6">
        <v>11.28304</v>
      </c>
      <c r="AJ26" s="69">
        <v>24</v>
      </c>
      <c r="AK26" s="66">
        <v>41786</v>
      </c>
      <c r="AL26" s="6">
        <v>43.3</v>
      </c>
      <c r="AM26" s="6">
        <v>43.741860000000003</v>
      </c>
      <c r="AO26" s="69">
        <v>24</v>
      </c>
      <c r="AP26" s="66">
        <v>41786</v>
      </c>
      <c r="AQ26" s="6">
        <v>36</v>
      </c>
      <c r="AR26" s="6">
        <v>33.592970000000001</v>
      </c>
      <c r="AT26" s="69">
        <v>24</v>
      </c>
      <c r="AU26" s="66">
        <v>41786</v>
      </c>
      <c r="AV26" s="6">
        <v>11.2</v>
      </c>
      <c r="AW26" s="6">
        <v>11.172980000000001</v>
      </c>
    </row>
    <row r="27" spans="1:49" x14ac:dyDescent="0.25">
      <c r="A27" s="5">
        <v>41790</v>
      </c>
      <c r="B27" t="s">
        <v>1</v>
      </c>
      <c r="C27">
        <f>1274</f>
        <v>1274</v>
      </c>
      <c r="D27">
        <f t="shared" si="0"/>
        <v>1</v>
      </c>
      <c r="E27">
        <f t="shared" si="10"/>
        <v>1274</v>
      </c>
      <c r="F27">
        <f t="shared" ref="F27:F60" si="19">(H27+((J27*0.18)+((100-SUM(H27:J27))*0.23)))/((I27+((J27*0.31)+((100-SUM(H27:J27))*0.19)))+(H27+((J27*0.18)+((100-SUM(H27:J27))*0.23))))*100</f>
        <v>56.30898287312128</v>
      </c>
      <c r="G27">
        <f t="shared" ref="G27:G60" si="20">100-F27</f>
        <v>43.69101712687872</v>
      </c>
      <c r="H27">
        <v>43</v>
      </c>
      <c r="I27">
        <v>31</v>
      </c>
      <c r="J27">
        <v>13</v>
      </c>
      <c r="K27">
        <f>100-SUM(H27:J27)</f>
        <v>13</v>
      </c>
      <c r="O27" s="5">
        <f t="shared" si="11"/>
        <v>41790</v>
      </c>
      <c r="P27">
        <f t="shared" si="12"/>
        <v>1274</v>
      </c>
      <c r="Q27">
        <f t="shared" si="13"/>
        <v>56.213965216074428</v>
      </c>
      <c r="R27">
        <f t="shared" si="4"/>
        <v>43.786034783925572</v>
      </c>
      <c r="S27" s="72">
        <f t="shared" si="5"/>
        <v>43.6</v>
      </c>
      <c r="T27" s="72">
        <f t="shared" si="6"/>
        <v>32</v>
      </c>
      <c r="U27" s="72">
        <f t="shared" si="7"/>
        <v>12</v>
      </c>
      <c r="W27">
        <f t="shared" si="8"/>
        <v>54.876273634245202</v>
      </c>
      <c r="X27">
        <f t="shared" si="9"/>
        <v>45.123726365754798</v>
      </c>
      <c r="Y27" s="6">
        <v>43.209000000000003</v>
      </c>
      <c r="Z27" s="6">
        <v>33.688580000000002</v>
      </c>
      <c r="AA27" s="6">
        <v>11.30345</v>
      </c>
      <c r="AJ27" s="69">
        <v>25</v>
      </c>
      <c r="AK27" s="66">
        <v>41790</v>
      </c>
      <c r="AL27" s="6">
        <v>43.6</v>
      </c>
      <c r="AM27" s="6">
        <v>43.710949999999997</v>
      </c>
      <c r="AO27" s="69">
        <v>25</v>
      </c>
      <c r="AP27" s="66">
        <v>41790</v>
      </c>
      <c r="AQ27" s="6">
        <v>32</v>
      </c>
      <c r="AR27" s="6">
        <v>33.605910000000002</v>
      </c>
      <c r="AT27" s="69">
        <v>25</v>
      </c>
      <c r="AU27" s="66">
        <v>41790</v>
      </c>
      <c r="AV27" s="6">
        <v>12</v>
      </c>
      <c r="AW27" s="6">
        <v>11.22903</v>
      </c>
    </row>
    <row r="28" spans="1:49" x14ac:dyDescent="0.25">
      <c r="A28" s="1">
        <v>41860</v>
      </c>
      <c r="B28" s="2" t="s">
        <v>1</v>
      </c>
      <c r="C28">
        <v>1285</v>
      </c>
      <c r="D28">
        <f t="shared" si="0"/>
        <v>1</v>
      </c>
      <c r="E28">
        <f t="shared" si="10"/>
        <v>1285</v>
      </c>
      <c r="F28">
        <f t="shared" si="19"/>
        <v>53.442815249266864</v>
      </c>
      <c r="G28">
        <f t="shared" si="20"/>
        <v>46.557184750733136</v>
      </c>
      <c r="H28">
        <v>40</v>
      </c>
      <c r="I28">
        <v>33</v>
      </c>
      <c r="J28">
        <v>13</v>
      </c>
      <c r="K28">
        <f>100-SUM(H28:J28)</f>
        <v>14</v>
      </c>
      <c r="O28" s="5">
        <f t="shared" si="11"/>
        <v>41860</v>
      </c>
      <c r="P28">
        <f t="shared" si="12"/>
        <v>1285</v>
      </c>
      <c r="Q28">
        <f t="shared" si="13"/>
        <v>53.325898204379826</v>
      </c>
      <c r="R28">
        <f t="shared" si="4"/>
        <v>46.674101795620174</v>
      </c>
      <c r="S28" s="72">
        <f t="shared" si="5"/>
        <v>40.6</v>
      </c>
      <c r="T28" s="72">
        <f t="shared" si="6"/>
        <v>34</v>
      </c>
      <c r="U28" s="72">
        <f t="shared" si="7"/>
        <v>12</v>
      </c>
      <c r="W28">
        <f t="shared" si="8"/>
        <v>54.794879935896503</v>
      </c>
      <c r="X28">
        <f t="shared" si="9"/>
        <v>45.205120064103497</v>
      </c>
      <c r="Y28" s="6">
        <v>42.934869999999997</v>
      </c>
      <c r="Z28" s="6">
        <v>33.55189</v>
      </c>
      <c r="AA28" s="6">
        <v>11.553039999999999</v>
      </c>
      <c r="AJ28" s="69">
        <v>26</v>
      </c>
      <c r="AK28" s="66">
        <v>41860</v>
      </c>
      <c r="AL28" s="6">
        <v>40.6</v>
      </c>
      <c r="AM28" s="6">
        <v>43.170070000000003</v>
      </c>
      <c r="AO28" s="69">
        <v>26</v>
      </c>
      <c r="AP28" s="66">
        <v>41860</v>
      </c>
      <c r="AQ28" s="6">
        <v>34</v>
      </c>
      <c r="AR28" s="6">
        <v>33.832369999999997</v>
      </c>
      <c r="AT28" s="69">
        <v>26</v>
      </c>
      <c r="AU28" s="66">
        <v>41860</v>
      </c>
      <c r="AV28" s="6">
        <v>12</v>
      </c>
      <c r="AW28" s="6">
        <v>11.485849999999999</v>
      </c>
    </row>
    <row r="29" spans="1:49" x14ac:dyDescent="0.25">
      <c r="A29" s="1">
        <v>41868</v>
      </c>
      <c r="B29" s="10" t="s">
        <v>0</v>
      </c>
      <c r="C29">
        <v>1234</v>
      </c>
      <c r="D29">
        <f t="shared" si="0"/>
        <v>0.4</v>
      </c>
      <c r="E29">
        <f t="shared" si="10"/>
        <v>493.6</v>
      </c>
      <c r="F29">
        <f t="shared" si="19"/>
        <v>55.206110299898903</v>
      </c>
      <c r="G29">
        <f t="shared" si="20"/>
        <v>44.793889700101097</v>
      </c>
      <c r="H29">
        <v>45</v>
      </c>
      <c r="I29">
        <v>35</v>
      </c>
      <c r="J29">
        <v>9</v>
      </c>
      <c r="K29">
        <f>100-SUM(H29:J29)</f>
        <v>11</v>
      </c>
      <c r="O29" s="5">
        <f t="shared" si="11"/>
        <v>41868</v>
      </c>
      <c r="P29">
        <f t="shared" si="12"/>
        <v>493.6</v>
      </c>
      <c r="Q29">
        <f t="shared" si="13"/>
        <v>56.18945891672368</v>
      </c>
      <c r="R29">
        <f t="shared" si="4"/>
        <v>43.81054108327632</v>
      </c>
      <c r="S29" s="72">
        <f t="shared" si="5"/>
        <v>43.187844006082649</v>
      </c>
      <c r="T29" s="72">
        <f t="shared" si="6"/>
        <v>31.655716015161538</v>
      </c>
      <c r="U29" s="72">
        <f t="shared" si="7"/>
        <v>11.957417623406686</v>
      </c>
      <c r="W29">
        <f t="shared" si="8"/>
        <v>54.785561952332316</v>
      </c>
      <c r="X29">
        <f t="shared" si="9"/>
        <v>45.214438047667684</v>
      </c>
      <c r="Y29" s="6">
        <v>42.903550000000003</v>
      </c>
      <c r="Z29" s="6">
        <v>33.536259999999999</v>
      </c>
      <c r="AA29" s="6">
        <v>11.58156</v>
      </c>
      <c r="AJ29" s="69">
        <v>27</v>
      </c>
      <c r="AK29" s="66">
        <v>41868</v>
      </c>
      <c r="AL29" s="6">
        <v>43.783760000000001</v>
      </c>
      <c r="AM29" s="6">
        <v>43.267589999999998</v>
      </c>
      <c r="AO29" s="69">
        <v>27</v>
      </c>
      <c r="AP29" s="66">
        <v>41868</v>
      </c>
      <c r="AQ29" s="6">
        <v>32.164160000000003</v>
      </c>
      <c r="AR29" s="6">
        <v>33.822580000000002</v>
      </c>
      <c r="AT29" s="69">
        <v>27</v>
      </c>
      <c r="AU29" s="66">
        <v>41868</v>
      </c>
      <c r="AV29" s="6">
        <v>11.1739</v>
      </c>
      <c r="AW29" s="6">
        <v>11.50915</v>
      </c>
    </row>
    <row r="30" spans="1:49" x14ac:dyDescent="0.25">
      <c r="A30" s="5">
        <v>41872</v>
      </c>
      <c r="B30" t="s">
        <v>2</v>
      </c>
      <c r="C30">
        <v>899</v>
      </c>
      <c r="D30">
        <f t="shared" si="0"/>
        <v>1.1000000000000001</v>
      </c>
      <c r="E30">
        <f t="shared" si="10"/>
        <v>988.90000000000009</v>
      </c>
      <c r="F30">
        <f t="shared" si="19"/>
        <v>55.007289447123476</v>
      </c>
      <c r="G30">
        <f t="shared" si="20"/>
        <v>44.992710552876524</v>
      </c>
      <c r="H30">
        <v>45</v>
      </c>
      <c r="I30">
        <v>35</v>
      </c>
      <c r="J30">
        <v>11</v>
      </c>
      <c r="K30">
        <f>100-SUM(H30:J30)</f>
        <v>9</v>
      </c>
      <c r="O30" s="5">
        <f t="shared" si="11"/>
        <v>41872</v>
      </c>
      <c r="P30">
        <f t="shared" si="12"/>
        <v>988.90000000000009</v>
      </c>
      <c r="Q30">
        <f t="shared" si="13"/>
        <v>55.97373519744712</v>
      </c>
      <c r="R30">
        <f t="shared" si="4"/>
        <v>44.02626480255288</v>
      </c>
      <c r="S30" s="72">
        <f t="shared" si="5"/>
        <v>45.3</v>
      </c>
      <c r="T30" s="72">
        <f t="shared" si="6"/>
        <v>34</v>
      </c>
      <c r="U30" s="72">
        <f t="shared" si="7"/>
        <v>11.2</v>
      </c>
      <c r="W30">
        <f t="shared" si="8"/>
        <v>54.781061314469795</v>
      </c>
      <c r="X30">
        <f t="shared" si="9"/>
        <v>45.218938685530205</v>
      </c>
      <c r="Y30" s="6">
        <v>42.887880000000003</v>
      </c>
      <c r="Z30" s="6">
        <v>33.528179999999999</v>
      </c>
      <c r="AA30" s="6">
        <v>11.595829999999999</v>
      </c>
      <c r="AJ30" s="69">
        <v>28</v>
      </c>
      <c r="AK30" s="66">
        <v>41872</v>
      </c>
      <c r="AL30" s="6">
        <v>45.3</v>
      </c>
      <c r="AM30" s="6">
        <v>43.31635</v>
      </c>
      <c r="AO30" s="69">
        <v>28</v>
      </c>
      <c r="AP30" s="66">
        <v>41872</v>
      </c>
      <c r="AQ30" s="6">
        <v>34</v>
      </c>
      <c r="AR30" s="6">
        <v>33.817689999999999</v>
      </c>
      <c r="AT30" s="69">
        <v>28</v>
      </c>
      <c r="AU30" s="66">
        <v>41872</v>
      </c>
      <c r="AV30" s="6">
        <v>11.2</v>
      </c>
      <c r="AW30" s="6">
        <v>11.520799999999999</v>
      </c>
    </row>
    <row r="31" spans="1:49" x14ac:dyDescent="0.25">
      <c r="A31" s="1">
        <v>41903</v>
      </c>
      <c r="B31" s="10" t="s">
        <v>0</v>
      </c>
      <c r="C31">
        <v>1476</v>
      </c>
      <c r="D31">
        <f t="shared" si="0"/>
        <v>0.4</v>
      </c>
      <c r="E31">
        <f t="shared" si="10"/>
        <v>590.4</v>
      </c>
      <c r="F31">
        <f t="shared" si="19"/>
        <v>54.181654676258994</v>
      </c>
      <c r="G31">
        <f t="shared" si="20"/>
        <v>45.818345323741006</v>
      </c>
      <c r="H31">
        <v>44</v>
      </c>
      <c r="I31">
        <v>36</v>
      </c>
      <c r="J31">
        <v>8</v>
      </c>
      <c r="K31">
        <f t="shared" ref="K31:K60" si="21">100-SUM(H31:J31)</f>
        <v>12</v>
      </c>
      <c r="O31" s="5">
        <f t="shared" si="11"/>
        <v>41903</v>
      </c>
      <c r="P31">
        <f t="shared" si="12"/>
        <v>590.4</v>
      </c>
      <c r="Q31">
        <f t="shared" si="13"/>
        <v>55.028155271474567</v>
      </c>
      <c r="R31">
        <f t="shared" si="4"/>
        <v>44.971844728525433</v>
      </c>
      <c r="S31" s="72">
        <f t="shared" si="5"/>
        <v>42.187844006082649</v>
      </c>
      <c r="T31" s="72">
        <f t="shared" si="6"/>
        <v>32.655716015161538</v>
      </c>
      <c r="U31" s="72">
        <f t="shared" si="7"/>
        <v>10.957417623406686</v>
      </c>
      <c r="W31">
        <f t="shared" si="8"/>
        <v>55.045040429151427</v>
      </c>
      <c r="X31">
        <f t="shared" si="9"/>
        <v>44.954959570848573</v>
      </c>
      <c r="Y31" s="6">
        <v>43.498249999999999</v>
      </c>
      <c r="Z31" s="6">
        <v>33.62867</v>
      </c>
      <c r="AA31" s="6">
        <v>11.48185</v>
      </c>
      <c r="AJ31" s="69">
        <v>29</v>
      </c>
      <c r="AK31" s="66">
        <v>41903</v>
      </c>
      <c r="AL31" s="6">
        <v>42.783760000000001</v>
      </c>
      <c r="AM31" s="6">
        <v>43.694249999999997</v>
      </c>
      <c r="AO31" s="69">
        <v>29</v>
      </c>
      <c r="AP31" s="66">
        <v>41903</v>
      </c>
      <c r="AQ31" s="6">
        <v>33.164160000000003</v>
      </c>
      <c r="AR31" s="6">
        <v>33.843730000000001</v>
      </c>
      <c r="AT31" s="69">
        <v>29</v>
      </c>
      <c r="AU31" s="66">
        <v>41903</v>
      </c>
      <c r="AV31" s="6">
        <v>10.1739</v>
      </c>
      <c r="AW31" s="6">
        <v>11.214</v>
      </c>
    </row>
    <row r="32" spans="1:49" x14ac:dyDescent="0.25">
      <c r="A32" s="1">
        <v>41910</v>
      </c>
      <c r="B32" s="10" t="s">
        <v>16</v>
      </c>
      <c r="C32">
        <v>1816</v>
      </c>
      <c r="D32">
        <f t="shared" si="0"/>
        <v>0.4</v>
      </c>
      <c r="E32">
        <f t="shared" si="10"/>
        <v>726.40000000000009</v>
      </c>
      <c r="F32">
        <f t="shared" si="19"/>
        <v>56.970691411112362</v>
      </c>
      <c r="G32">
        <f t="shared" si="20"/>
        <v>43.029308588887638</v>
      </c>
      <c r="H32">
        <v>46</v>
      </c>
      <c r="I32">
        <v>32.5</v>
      </c>
      <c r="J32">
        <v>12</v>
      </c>
      <c r="K32">
        <f t="shared" si="21"/>
        <v>9.5</v>
      </c>
      <c r="O32" s="5">
        <f t="shared" si="11"/>
        <v>41910</v>
      </c>
      <c r="P32">
        <f t="shared" si="12"/>
        <v>726.40000000000009</v>
      </c>
      <c r="Q32">
        <f t="shared" si="13"/>
        <v>55.547037950285549</v>
      </c>
      <c r="R32">
        <f t="shared" si="4"/>
        <v>44.452962049714451</v>
      </c>
      <c r="S32" s="72">
        <f t="shared" si="5"/>
        <v>44.699326774199633</v>
      </c>
      <c r="T32" s="72">
        <f t="shared" si="6"/>
        <v>34.166713210887949</v>
      </c>
      <c r="U32" s="72">
        <f t="shared" si="7"/>
        <v>11.746159888628814</v>
      </c>
      <c r="W32">
        <f t="shared" ref="W32:W51" si="22">(Y32+((AA32*0.18)+((100-SUM(Y32:AA32))*0.23)))/((Z32+((AA32*0.31)+((100-SUM(Y32:AA32))*0.19)))+(Y32+((AA32*0.18)+((100-SUM(Y32:AA32))*0.23))))*100</f>
        <v>55.104307587331135</v>
      </c>
      <c r="X32">
        <f t="shared" ref="X32:X51" si="23">100-W32</f>
        <v>44.895692412668865</v>
      </c>
      <c r="Y32" s="6">
        <v>43.63608</v>
      </c>
      <c r="Z32" s="6">
        <v>33.65137</v>
      </c>
      <c r="AA32" s="6">
        <v>11.45612</v>
      </c>
      <c r="AJ32" s="69">
        <v>30</v>
      </c>
      <c r="AK32" s="66">
        <v>41910</v>
      </c>
      <c r="AL32" s="6">
        <v>45.588639999999998</v>
      </c>
      <c r="AM32" s="6">
        <v>43.779589999999999</v>
      </c>
      <c r="AO32" s="69">
        <v>30</v>
      </c>
      <c r="AP32" s="66">
        <v>41910</v>
      </c>
      <c r="AQ32" s="6">
        <v>33.69303</v>
      </c>
      <c r="AR32" s="6">
        <v>33.849609999999998</v>
      </c>
      <c r="AT32" s="69">
        <v>30</v>
      </c>
      <c r="AU32" s="66">
        <v>41910</v>
      </c>
      <c r="AV32" s="6">
        <v>11.511659999999999</v>
      </c>
      <c r="AW32" s="6">
        <v>11.144729999999999</v>
      </c>
    </row>
    <row r="33" spans="1:49" x14ac:dyDescent="0.25">
      <c r="A33" s="1">
        <v>41916</v>
      </c>
      <c r="B33" s="10" t="s">
        <v>1</v>
      </c>
      <c r="C33">
        <v>1283</v>
      </c>
      <c r="D33">
        <f t="shared" si="0"/>
        <v>1</v>
      </c>
      <c r="E33">
        <f t="shared" si="10"/>
        <v>1283</v>
      </c>
      <c r="F33">
        <f t="shared" si="19"/>
        <v>54.507580141187361</v>
      </c>
      <c r="G33">
        <f t="shared" si="20"/>
        <v>45.492419858812639</v>
      </c>
      <c r="H33">
        <v>42</v>
      </c>
      <c r="I33">
        <v>33</v>
      </c>
      <c r="J33">
        <v>13</v>
      </c>
      <c r="K33">
        <f t="shared" si="21"/>
        <v>12</v>
      </c>
      <c r="O33" s="5">
        <f t="shared" si="11"/>
        <v>41916</v>
      </c>
      <c r="P33">
        <f t="shared" si="12"/>
        <v>1283</v>
      </c>
      <c r="Q33">
        <f t="shared" si="13"/>
        <v>54.471926732503803</v>
      </c>
      <c r="R33">
        <f t="shared" si="4"/>
        <v>45.528073267496197</v>
      </c>
      <c r="S33" s="72">
        <f t="shared" si="5"/>
        <v>42.6</v>
      </c>
      <c r="T33" s="72">
        <f t="shared" si="6"/>
        <v>34</v>
      </c>
      <c r="U33" s="72">
        <f t="shared" si="7"/>
        <v>12</v>
      </c>
      <c r="W33">
        <f t="shared" si="22"/>
        <v>55.169388773328961</v>
      </c>
      <c r="X33">
        <f t="shared" si="23"/>
        <v>44.830611226671039</v>
      </c>
      <c r="Y33" s="6">
        <v>43.773859999999999</v>
      </c>
      <c r="Z33" s="6">
        <v>33.667929999999998</v>
      </c>
      <c r="AA33" s="6">
        <v>11.409470000000001</v>
      </c>
      <c r="AJ33" s="69">
        <v>31</v>
      </c>
      <c r="AK33" s="66">
        <v>41916</v>
      </c>
      <c r="AL33" s="6">
        <v>42.6</v>
      </c>
      <c r="AM33" s="6">
        <v>43.887990000000002</v>
      </c>
      <c r="AO33" s="69">
        <v>31</v>
      </c>
      <c r="AP33" s="66">
        <v>41916</v>
      </c>
      <c r="AQ33" s="6">
        <v>34</v>
      </c>
      <c r="AR33" s="6">
        <v>33.893990000000002</v>
      </c>
      <c r="AT33" s="69">
        <v>31</v>
      </c>
      <c r="AU33" s="66">
        <v>41916</v>
      </c>
      <c r="AV33" s="6">
        <v>12</v>
      </c>
      <c r="AW33" s="6">
        <v>11.085179999999999</v>
      </c>
    </row>
    <row r="34" spans="1:49" x14ac:dyDescent="0.25">
      <c r="A34" s="1">
        <v>41931</v>
      </c>
      <c r="B34" s="10" t="s">
        <v>0</v>
      </c>
      <c r="C34">
        <v>1196</v>
      </c>
      <c r="D34">
        <f t="shared" si="0"/>
        <v>0.4</v>
      </c>
      <c r="E34">
        <f t="shared" si="10"/>
        <v>478.40000000000003</v>
      </c>
      <c r="F34">
        <f t="shared" si="19"/>
        <v>55.193075898801602</v>
      </c>
      <c r="G34">
        <f t="shared" si="20"/>
        <v>44.806924101198398</v>
      </c>
      <c r="H34">
        <v>46</v>
      </c>
      <c r="I34">
        <v>36</v>
      </c>
      <c r="J34">
        <v>8</v>
      </c>
      <c r="K34">
        <f t="shared" si="21"/>
        <v>10</v>
      </c>
      <c r="O34" s="5">
        <f t="shared" si="11"/>
        <v>41931</v>
      </c>
      <c r="P34">
        <f t="shared" si="12"/>
        <v>478.40000000000003</v>
      </c>
      <c r="Q34">
        <f t="shared" si="13"/>
        <v>56.150863276922337</v>
      </c>
      <c r="R34">
        <f t="shared" si="4"/>
        <v>43.849136723077663</v>
      </c>
      <c r="S34" s="72">
        <f t="shared" si="5"/>
        <v>44.187844006082649</v>
      </c>
      <c r="T34" s="72">
        <f t="shared" si="6"/>
        <v>32.655716015161538</v>
      </c>
      <c r="U34" s="72">
        <f t="shared" si="7"/>
        <v>10.957417623406686</v>
      </c>
      <c r="W34">
        <f t="shared" si="22"/>
        <v>55.331536594845808</v>
      </c>
      <c r="X34">
        <f t="shared" si="23"/>
        <v>44.668463405154192</v>
      </c>
      <c r="Y34" s="6">
        <v>44.11833</v>
      </c>
      <c r="Z34" s="6">
        <v>33.709339999999997</v>
      </c>
      <c r="AA34" s="6">
        <v>11.29285</v>
      </c>
      <c r="AJ34" s="69">
        <v>32</v>
      </c>
      <c r="AK34" s="66">
        <v>41931</v>
      </c>
      <c r="AL34" s="6">
        <v>44.783760000000001</v>
      </c>
      <c r="AM34" s="6">
        <v>44.158990000000003</v>
      </c>
      <c r="AO34" s="69">
        <v>32</v>
      </c>
      <c r="AP34" s="66">
        <v>41931</v>
      </c>
      <c r="AQ34" s="6">
        <v>33.164160000000003</v>
      </c>
      <c r="AR34" s="6">
        <v>34.004930000000002</v>
      </c>
      <c r="AT34" s="69">
        <v>32</v>
      </c>
      <c r="AU34" s="66">
        <v>41931</v>
      </c>
      <c r="AV34" s="6">
        <v>10.1739</v>
      </c>
      <c r="AW34" s="6">
        <v>10.93633</v>
      </c>
    </row>
    <row r="35" spans="1:49" x14ac:dyDescent="0.25">
      <c r="A35" s="1">
        <v>41938</v>
      </c>
      <c r="B35" s="10" t="s">
        <v>16</v>
      </c>
      <c r="C35">
        <v>1860</v>
      </c>
      <c r="D35">
        <f t="shared" ref="D35:D60" si="24">INDEX(AD$3:AD$10,MATCH(B35,AC$3:AC$10,0))</f>
        <v>0.4</v>
      </c>
      <c r="E35">
        <f t="shared" si="10"/>
        <v>744</v>
      </c>
      <c r="F35">
        <f t="shared" si="19"/>
        <v>56.178829864811796</v>
      </c>
      <c r="G35">
        <f t="shared" si="20"/>
        <v>43.821170135188204</v>
      </c>
      <c r="H35">
        <v>46</v>
      </c>
      <c r="I35">
        <v>34</v>
      </c>
      <c r="J35">
        <v>10.5</v>
      </c>
      <c r="K35">
        <f t="shared" si="21"/>
        <v>9.5</v>
      </c>
      <c r="O35" s="5">
        <f t="shared" si="11"/>
        <v>41938</v>
      </c>
      <c r="P35">
        <f t="shared" si="12"/>
        <v>744</v>
      </c>
      <c r="Q35">
        <f t="shared" si="13"/>
        <v>54.68349923128423</v>
      </c>
      <c r="R35">
        <f t="shared" si="4"/>
        <v>45.31650076871577</v>
      </c>
      <c r="S35" s="72">
        <f t="shared" ref="S35:S60" si="25">H35+INDEX(AE$3:AE$10,MATCH($B35,$AC$3:$AC$10,0))</f>
        <v>44.699326774199633</v>
      </c>
      <c r="T35" s="72">
        <f t="shared" ref="T35:T60" si="26">I35+INDEX(AF$3:AF$10,MATCH($B35,$AC$3:$AC$10,0))</f>
        <v>35.666713210887949</v>
      </c>
      <c r="U35" s="72">
        <f t="shared" ref="U35:U60" si="27">J35+INDEX(AG$3:AG$10,MATCH($B35,$AC$3:$AC$10,0))</f>
        <v>10.246159888628814</v>
      </c>
      <c r="W35">
        <f t="shared" si="22"/>
        <v>55.302052010865957</v>
      </c>
      <c r="X35">
        <f t="shared" si="23"/>
        <v>44.697947989134043</v>
      </c>
      <c r="Y35" s="6">
        <v>44.161790000000003</v>
      </c>
      <c r="Z35" s="6">
        <v>33.799900000000001</v>
      </c>
      <c r="AA35" s="6">
        <v>11.24296</v>
      </c>
      <c r="AJ35" s="69">
        <v>33</v>
      </c>
      <c r="AK35" s="66">
        <v>41938</v>
      </c>
      <c r="AL35" s="6">
        <v>45.588639999999998</v>
      </c>
      <c r="AM35" s="6">
        <v>44.28546</v>
      </c>
      <c r="AO35" s="69">
        <v>33</v>
      </c>
      <c r="AP35" s="66">
        <v>41938</v>
      </c>
      <c r="AQ35" s="6">
        <v>35.19303</v>
      </c>
      <c r="AR35" s="6">
        <v>34.056710000000002</v>
      </c>
      <c r="AT35" s="69">
        <v>33</v>
      </c>
      <c r="AU35" s="66">
        <v>41938</v>
      </c>
      <c r="AV35" s="6">
        <v>10.011659999999999</v>
      </c>
      <c r="AW35" s="6">
        <v>10.87965</v>
      </c>
    </row>
    <row r="36" spans="1:49" x14ac:dyDescent="0.25">
      <c r="A36" s="1">
        <v>41963</v>
      </c>
      <c r="B36" s="10" t="s">
        <v>2</v>
      </c>
      <c r="C36">
        <v>938</v>
      </c>
      <c r="D36">
        <f t="shared" si="24"/>
        <v>1.1000000000000001</v>
      </c>
      <c r="E36">
        <f t="shared" si="10"/>
        <v>1031.8000000000002</v>
      </c>
      <c r="F36">
        <f t="shared" si="19"/>
        <v>56.128742850734561</v>
      </c>
      <c r="G36">
        <f t="shared" si="20"/>
        <v>43.871257149265439</v>
      </c>
      <c r="H36">
        <v>46</v>
      </c>
      <c r="I36">
        <v>34</v>
      </c>
      <c r="J36">
        <v>11</v>
      </c>
      <c r="K36">
        <f t="shared" si="21"/>
        <v>9</v>
      </c>
      <c r="O36" s="5">
        <f t="shared" si="11"/>
        <v>41963</v>
      </c>
      <c r="P36">
        <f t="shared" si="12"/>
        <v>1031.8000000000002</v>
      </c>
      <c r="Q36">
        <f t="shared" si="13"/>
        <v>57.102776717294155</v>
      </c>
      <c r="R36">
        <f t="shared" si="4"/>
        <v>42.897223282705845</v>
      </c>
      <c r="S36" s="72">
        <f t="shared" si="25"/>
        <v>46.3</v>
      </c>
      <c r="T36" s="72">
        <f t="shared" si="26"/>
        <v>33</v>
      </c>
      <c r="U36" s="72">
        <f t="shared" si="27"/>
        <v>11.2</v>
      </c>
      <c r="W36">
        <f t="shared" si="22"/>
        <v>55.197180617262312</v>
      </c>
      <c r="X36">
        <f t="shared" si="23"/>
        <v>44.802819382737688</v>
      </c>
      <c r="Y36" s="6">
        <v>44.317030000000003</v>
      </c>
      <c r="Z36" s="6">
        <v>34.123309999999996</v>
      </c>
      <c r="AA36" s="6">
        <v>11.064769999999999</v>
      </c>
      <c r="AJ36" s="69">
        <v>34</v>
      </c>
      <c r="AK36" s="66">
        <v>41963</v>
      </c>
      <c r="AL36" s="6">
        <v>46.3</v>
      </c>
      <c r="AM36" s="6">
        <v>44.388890000000004</v>
      </c>
      <c r="AO36" s="69">
        <v>34</v>
      </c>
      <c r="AP36" s="66">
        <v>41963</v>
      </c>
      <c r="AQ36" s="6">
        <v>33</v>
      </c>
      <c r="AR36" s="6">
        <v>34.361159999999998</v>
      </c>
      <c r="AT36" s="69">
        <v>34</v>
      </c>
      <c r="AU36" s="66">
        <v>41963</v>
      </c>
      <c r="AV36" s="6">
        <v>11.2</v>
      </c>
      <c r="AW36" s="6">
        <v>10.75173</v>
      </c>
    </row>
    <row r="37" spans="1:49" x14ac:dyDescent="0.25">
      <c r="A37" s="1">
        <v>41964</v>
      </c>
      <c r="B37" s="10" t="s">
        <v>17</v>
      </c>
      <c r="C37">
        <v>1002</v>
      </c>
      <c r="D37">
        <f t="shared" si="24"/>
        <v>0.4</v>
      </c>
      <c r="E37">
        <f t="shared" si="10"/>
        <v>400.8</v>
      </c>
      <c r="F37">
        <f t="shared" si="19"/>
        <v>53.885836043512391</v>
      </c>
      <c r="G37">
        <f t="shared" si="20"/>
        <v>46.114163956487609</v>
      </c>
      <c r="H37">
        <v>44</v>
      </c>
      <c r="I37">
        <v>36</v>
      </c>
      <c r="J37">
        <v>11</v>
      </c>
      <c r="K37">
        <f t="shared" si="21"/>
        <v>9</v>
      </c>
      <c r="L37">
        <v>51</v>
      </c>
      <c r="M37">
        <f>L37-F37</f>
        <v>-2.8858360435123913</v>
      </c>
      <c r="O37" s="5">
        <f t="shared" si="11"/>
        <v>41964</v>
      </c>
      <c r="P37">
        <f t="shared" si="12"/>
        <v>400.8</v>
      </c>
      <c r="Q37">
        <f t="shared" si="13"/>
        <v>53.754582937791419</v>
      </c>
      <c r="R37">
        <f t="shared" si="4"/>
        <v>46.245417062208581</v>
      </c>
      <c r="S37" s="72">
        <f t="shared" si="25"/>
        <v>43.024267009966778</v>
      </c>
      <c r="T37" s="72">
        <f t="shared" si="26"/>
        <v>35.659478438538201</v>
      </c>
      <c r="U37" s="72">
        <f t="shared" si="27"/>
        <v>10.650560564784053</v>
      </c>
      <c r="W37">
        <f t="shared" si="22"/>
        <v>55.191733225342062</v>
      </c>
      <c r="X37">
        <f t="shared" si="23"/>
        <v>44.808266774657938</v>
      </c>
      <c r="Y37" s="6">
        <v>44.323230000000002</v>
      </c>
      <c r="Z37" s="6">
        <v>34.138269999999999</v>
      </c>
      <c r="AA37" s="6">
        <v>11.057639999999999</v>
      </c>
      <c r="AJ37" s="69">
        <v>35</v>
      </c>
      <c r="AK37" s="66">
        <v>41964</v>
      </c>
      <c r="AL37" s="6">
        <v>42.66254</v>
      </c>
      <c r="AM37" s="6">
        <v>44.393030000000003</v>
      </c>
      <c r="AO37" s="69">
        <v>35</v>
      </c>
      <c r="AP37" s="66">
        <v>41964</v>
      </c>
      <c r="AQ37" s="6">
        <v>37.094119999999997</v>
      </c>
      <c r="AR37" s="6">
        <v>34.373339999999999</v>
      </c>
      <c r="AT37" s="69">
        <v>35</v>
      </c>
      <c r="AU37" s="66">
        <v>41964</v>
      </c>
      <c r="AV37" s="6">
        <v>9.4989399999999993</v>
      </c>
      <c r="AW37" s="6">
        <v>10.74662</v>
      </c>
    </row>
    <row r="38" spans="1:49" x14ac:dyDescent="0.25">
      <c r="A38" s="1">
        <v>41966</v>
      </c>
      <c r="B38" s="10" t="s">
        <v>16</v>
      </c>
      <c r="C38">
        <v>1253</v>
      </c>
      <c r="D38">
        <f t="shared" si="24"/>
        <v>0.4</v>
      </c>
      <c r="E38">
        <f t="shared" si="10"/>
        <v>501.20000000000005</v>
      </c>
      <c r="F38">
        <f t="shared" si="19"/>
        <v>55.911513553785319</v>
      </c>
      <c r="G38">
        <f t="shared" si="20"/>
        <v>44.088486446214681</v>
      </c>
      <c r="H38">
        <v>44</v>
      </c>
      <c r="I38">
        <v>32.5</v>
      </c>
      <c r="J38">
        <v>12.5</v>
      </c>
      <c r="K38">
        <f t="shared" si="21"/>
        <v>11</v>
      </c>
      <c r="O38" s="5">
        <f t="shared" si="11"/>
        <v>41966</v>
      </c>
      <c r="P38">
        <f t="shared" si="12"/>
        <v>501.20000000000005</v>
      </c>
      <c r="Q38">
        <f t="shared" si="13"/>
        <v>54.431058688884285</v>
      </c>
      <c r="R38">
        <f t="shared" si="4"/>
        <v>45.568941311115715</v>
      </c>
      <c r="S38" s="72">
        <f t="shared" si="25"/>
        <v>42.699326774199633</v>
      </c>
      <c r="T38" s="72">
        <f t="shared" si="26"/>
        <v>34.166713210887949</v>
      </c>
      <c r="U38" s="72">
        <f t="shared" si="27"/>
        <v>12.246159888628814</v>
      </c>
      <c r="W38">
        <f t="shared" si="22"/>
        <v>55.183674728550571</v>
      </c>
      <c r="X38">
        <f t="shared" si="23"/>
        <v>44.816325271449429</v>
      </c>
      <c r="Y38" s="6">
        <v>44.338999999999999</v>
      </c>
      <c r="Z38" s="6">
        <v>34.166359999999997</v>
      </c>
      <c r="AA38" s="6">
        <v>11.04363</v>
      </c>
      <c r="AJ38" s="69">
        <v>36</v>
      </c>
      <c r="AK38" s="66">
        <v>41966</v>
      </c>
      <c r="AL38" s="6">
        <v>43.588639999999998</v>
      </c>
      <c r="AM38" s="6">
        <v>44.401299999999999</v>
      </c>
      <c r="AO38" s="69">
        <v>36</v>
      </c>
      <c r="AP38" s="66">
        <v>41966</v>
      </c>
      <c r="AQ38" s="6">
        <v>33.69303</v>
      </c>
      <c r="AR38" s="6">
        <v>34.3977</v>
      </c>
      <c r="AT38" s="69">
        <v>36</v>
      </c>
      <c r="AU38" s="66">
        <v>41966</v>
      </c>
      <c r="AV38" s="6">
        <v>12.011659999999999</v>
      </c>
      <c r="AW38" s="6">
        <v>10.7333</v>
      </c>
    </row>
    <row r="39" spans="1:49" x14ac:dyDescent="0.25">
      <c r="A39" s="1">
        <v>41972</v>
      </c>
      <c r="B39" s="10" t="s">
        <v>1</v>
      </c>
      <c r="C39">
        <v>1275</v>
      </c>
      <c r="D39">
        <f t="shared" si="24"/>
        <v>1</v>
      </c>
      <c r="E39">
        <f t="shared" si="10"/>
        <v>1275</v>
      </c>
      <c r="F39">
        <f t="shared" si="19"/>
        <v>55.747455106942702</v>
      </c>
      <c r="G39">
        <f t="shared" si="20"/>
        <v>44.252544893057298</v>
      </c>
      <c r="H39">
        <v>44</v>
      </c>
      <c r="I39">
        <v>33</v>
      </c>
      <c r="J39">
        <v>11</v>
      </c>
      <c r="K39">
        <f t="shared" si="21"/>
        <v>12</v>
      </c>
      <c r="O39" s="5">
        <f t="shared" si="11"/>
        <v>41972</v>
      </c>
      <c r="P39">
        <f t="shared" si="12"/>
        <v>1275</v>
      </c>
      <c r="Q39">
        <f t="shared" si="13"/>
        <v>55.589253150144671</v>
      </c>
      <c r="R39">
        <f t="shared" si="4"/>
        <v>44.410746849855329</v>
      </c>
      <c r="S39" s="72">
        <f t="shared" si="25"/>
        <v>44.6</v>
      </c>
      <c r="T39" s="72">
        <f t="shared" si="26"/>
        <v>34</v>
      </c>
      <c r="U39" s="72">
        <f t="shared" si="27"/>
        <v>10</v>
      </c>
      <c r="W39">
        <f t="shared" si="22"/>
        <v>55.159538444048863</v>
      </c>
      <c r="X39">
        <f t="shared" si="23"/>
        <v>44.840461555951137</v>
      </c>
      <c r="Y39" s="6">
        <v>44.386310000000002</v>
      </c>
      <c r="Z39" s="6">
        <v>34.250610000000002</v>
      </c>
      <c r="AA39" s="6">
        <v>11.0016</v>
      </c>
      <c r="AJ39" s="69">
        <v>37</v>
      </c>
      <c r="AK39" s="66">
        <v>41972</v>
      </c>
      <c r="AL39" s="6">
        <v>44.6</v>
      </c>
      <c r="AM39" s="6">
        <v>44.341709999999999</v>
      </c>
      <c r="AO39" s="69">
        <v>37</v>
      </c>
      <c r="AP39" s="66">
        <v>41972</v>
      </c>
      <c r="AQ39" s="6">
        <v>34</v>
      </c>
      <c r="AR39" s="6">
        <v>34.5075</v>
      </c>
      <c r="AT39" s="69">
        <v>37</v>
      </c>
      <c r="AU39" s="66">
        <v>41972</v>
      </c>
      <c r="AV39" s="6">
        <v>10</v>
      </c>
      <c r="AW39" s="6">
        <v>10.72166</v>
      </c>
    </row>
    <row r="40" spans="1:49" x14ac:dyDescent="0.25">
      <c r="A40" s="1">
        <v>42011</v>
      </c>
      <c r="B40" s="10" t="s">
        <v>2</v>
      </c>
      <c r="C40">
        <v>832</v>
      </c>
      <c r="D40">
        <f t="shared" si="24"/>
        <v>1.1000000000000001</v>
      </c>
      <c r="E40">
        <f t="shared" si="10"/>
        <v>915.2</v>
      </c>
      <c r="F40">
        <f t="shared" si="19"/>
        <v>53.885836043512391</v>
      </c>
      <c r="G40">
        <f t="shared" si="20"/>
        <v>46.114163956487609</v>
      </c>
      <c r="H40">
        <v>44</v>
      </c>
      <c r="I40">
        <v>36</v>
      </c>
      <c r="J40">
        <v>11</v>
      </c>
      <c r="K40">
        <f t="shared" si="21"/>
        <v>9</v>
      </c>
      <c r="O40" s="5">
        <f t="shared" si="11"/>
        <v>42011</v>
      </c>
      <c r="P40">
        <f t="shared" si="12"/>
        <v>915.2</v>
      </c>
      <c r="Q40">
        <f t="shared" si="13"/>
        <v>54.844693677600063</v>
      </c>
      <c r="R40">
        <f t="shared" si="4"/>
        <v>45.155306322399937</v>
      </c>
      <c r="S40" s="72">
        <f t="shared" si="25"/>
        <v>44.3</v>
      </c>
      <c r="T40" s="72">
        <f t="shared" si="26"/>
        <v>35</v>
      </c>
      <c r="U40" s="72">
        <f t="shared" si="27"/>
        <v>11.2</v>
      </c>
      <c r="W40">
        <f t="shared" si="22"/>
        <v>54.406536226275094</v>
      </c>
      <c r="X40">
        <f t="shared" si="23"/>
        <v>45.593463773724906</v>
      </c>
      <c r="Y40" s="6">
        <v>43.9392</v>
      </c>
      <c r="Z40" s="6">
        <v>35.114260000000002</v>
      </c>
      <c r="AA40" s="6">
        <v>10.90105</v>
      </c>
      <c r="AJ40" s="69">
        <v>38</v>
      </c>
      <c r="AK40" s="66">
        <v>42011</v>
      </c>
      <c r="AL40" s="6">
        <v>44.3</v>
      </c>
      <c r="AM40" s="6">
        <v>43.954340000000002</v>
      </c>
      <c r="AO40" s="69">
        <v>38</v>
      </c>
      <c r="AP40" s="66">
        <v>42011</v>
      </c>
      <c r="AQ40" s="6">
        <v>35</v>
      </c>
      <c r="AR40" s="6">
        <v>35.221220000000002</v>
      </c>
      <c r="AT40" s="69">
        <v>38</v>
      </c>
      <c r="AU40" s="66">
        <v>42011</v>
      </c>
      <c r="AV40" s="6">
        <v>11.2</v>
      </c>
      <c r="AW40" s="6">
        <v>10.64602</v>
      </c>
    </row>
    <row r="41" spans="1:49" x14ac:dyDescent="0.25">
      <c r="A41" s="1">
        <v>42021</v>
      </c>
      <c r="B41" s="10" t="s">
        <v>16</v>
      </c>
      <c r="C41">
        <v>1114</v>
      </c>
      <c r="D41">
        <f t="shared" si="24"/>
        <v>0.4</v>
      </c>
      <c r="E41">
        <f t="shared" si="10"/>
        <v>445.6</v>
      </c>
      <c r="F41">
        <f t="shared" si="19"/>
        <v>50.999196049155856</v>
      </c>
      <c r="G41">
        <f t="shared" si="20"/>
        <v>49.000803950844144</v>
      </c>
      <c r="H41">
        <v>39.5</v>
      </c>
      <c r="I41">
        <v>37</v>
      </c>
      <c r="J41">
        <v>10</v>
      </c>
      <c r="K41">
        <f t="shared" si="21"/>
        <v>13.5</v>
      </c>
      <c r="O41" s="5">
        <f t="shared" si="11"/>
        <v>42021</v>
      </c>
      <c r="P41">
        <f t="shared" si="12"/>
        <v>445.6</v>
      </c>
      <c r="Q41">
        <f t="shared" si="13"/>
        <v>49.27209468953707</v>
      </c>
      <c r="R41">
        <f t="shared" si="4"/>
        <v>50.72790531046293</v>
      </c>
      <c r="S41" s="72">
        <f t="shared" si="25"/>
        <v>38.199326774199633</v>
      </c>
      <c r="T41" s="72">
        <f t="shared" si="26"/>
        <v>38.666713210887949</v>
      </c>
      <c r="U41" s="72">
        <f t="shared" si="27"/>
        <v>9.7461598886288137</v>
      </c>
      <c r="W41">
        <f t="shared" si="22"/>
        <v>54.214101255386772</v>
      </c>
      <c r="X41">
        <f t="shared" si="23"/>
        <v>45.785898744613228</v>
      </c>
      <c r="Y41" s="6">
        <v>43.824559999999998</v>
      </c>
      <c r="Z41" s="6">
        <v>35.335709999999999</v>
      </c>
      <c r="AA41" s="6">
        <v>10.87527</v>
      </c>
      <c r="AJ41" s="69">
        <v>39</v>
      </c>
      <c r="AK41" s="66">
        <v>42021</v>
      </c>
      <c r="AL41" s="6">
        <v>39.088639999999998</v>
      </c>
      <c r="AM41" s="6">
        <v>43.85501</v>
      </c>
      <c r="AO41" s="69">
        <v>39</v>
      </c>
      <c r="AP41" s="66">
        <v>42021</v>
      </c>
      <c r="AQ41" s="6">
        <v>38.19303</v>
      </c>
      <c r="AR41" s="6">
        <v>35.404229999999998</v>
      </c>
      <c r="AT41" s="69">
        <v>39</v>
      </c>
      <c r="AU41" s="66">
        <v>42021</v>
      </c>
      <c r="AV41" s="6">
        <v>9.5116599999999991</v>
      </c>
      <c r="AW41" s="6">
        <v>10.73935</v>
      </c>
    </row>
    <row r="42" spans="1:49" x14ac:dyDescent="0.25">
      <c r="A42" s="1">
        <v>42026</v>
      </c>
      <c r="B42" s="10" t="s">
        <v>2</v>
      </c>
      <c r="C42">
        <v>954</v>
      </c>
      <c r="D42">
        <f t="shared" si="24"/>
        <v>1.1000000000000001</v>
      </c>
      <c r="E42">
        <f t="shared" si="10"/>
        <v>1049.4000000000001</v>
      </c>
      <c r="F42">
        <f t="shared" si="19"/>
        <v>54.395543175487468</v>
      </c>
      <c r="G42">
        <f t="shared" si="20"/>
        <v>45.604456824512532</v>
      </c>
      <c r="H42">
        <v>45</v>
      </c>
      <c r="I42">
        <v>36</v>
      </c>
      <c r="J42">
        <v>11</v>
      </c>
      <c r="K42">
        <f t="shared" si="21"/>
        <v>8</v>
      </c>
      <c r="O42" s="5">
        <f t="shared" si="11"/>
        <v>42026</v>
      </c>
      <c r="P42">
        <f t="shared" si="12"/>
        <v>1049.4000000000001</v>
      </c>
      <c r="Q42">
        <f t="shared" si="13"/>
        <v>55.395163677567652</v>
      </c>
      <c r="R42">
        <f t="shared" si="4"/>
        <v>44.604836322432348</v>
      </c>
      <c r="S42" s="72">
        <f t="shared" si="25"/>
        <v>45.3</v>
      </c>
      <c r="T42" s="72">
        <f t="shared" si="26"/>
        <v>35</v>
      </c>
      <c r="U42" s="72">
        <f t="shared" si="27"/>
        <v>11.2</v>
      </c>
      <c r="W42">
        <f t="shared" si="22"/>
        <v>54.224601673347138</v>
      </c>
      <c r="X42">
        <f t="shared" si="23"/>
        <v>45.775398326652862</v>
      </c>
      <c r="Y42" s="6">
        <v>43.871479999999998</v>
      </c>
      <c r="Z42" s="6">
        <v>35.371560000000002</v>
      </c>
      <c r="AA42" s="6">
        <v>10.790459999999999</v>
      </c>
      <c r="AJ42" s="69">
        <v>40</v>
      </c>
      <c r="AK42" s="66">
        <v>42026</v>
      </c>
      <c r="AL42" s="6">
        <v>45.3</v>
      </c>
      <c r="AM42" s="6">
        <v>43.877420000000001</v>
      </c>
      <c r="AO42" s="69">
        <v>40</v>
      </c>
      <c r="AP42" s="66">
        <v>42026</v>
      </c>
      <c r="AQ42" s="6">
        <v>35</v>
      </c>
      <c r="AR42" s="6">
        <v>35.439050000000002</v>
      </c>
      <c r="AT42" s="69">
        <v>40</v>
      </c>
      <c r="AU42" s="66">
        <v>42026</v>
      </c>
      <c r="AV42" s="6">
        <v>11.2</v>
      </c>
      <c r="AW42" s="6">
        <v>10.63269</v>
      </c>
    </row>
    <row r="43" spans="1:49" x14ac:dyDescent="0.25">
      <c r="A43" s="1">
        <v>42041</v>
      </c>
      <c r="B43" s="10" t="s">
        <v>17</v>
      </c>
      <c r="C43">
        <v>1000</v>
      </c>
      <c r="D43">
        <f t="shared" si="24"/>
        <v>0.4</v>
      </c>
      <c r="E43">
        <f t="shared" si="10"/>
        <v>400</v>
      </c>
      <c r="F43">
        <f t="shared" si="19"/>
        <v>56.028686687584042</v>
      </c>
      <c r="G43">
        <f t="shared" si="20"/>
        <v>43.971313312415958</v>
      </c>
      <c r="H43">
        <v>46</v>
      </c>
      <c r="I43">
        <v>34</v>
      </c>
      <c r="J43">
        <v>12</v>
      </c>
      <c r="K43">
        <f t="shared" si="21"/>
        <v>8</v>
      </c>
      <c r="L43">
        <v>53</v>
      </c>
      <c r="M43">
        <f>L43-F43</f>
        <v>-3.0286866875840417</v>
      </c>
      <c r="O43" s="5">
        <f t="shared" si="11"/>
        <v>42041</v>
      </c>
      <c r="P43">
        <f t="shared" si="12"/>
        <v>400</v>
      </c>
      <c r="Q43">
        <f t="shared" si="13"/>
        <v>56.021374225687161</v>
      </c>
      <c r="R43">
        <f t="shared" si="4"/>
        <v>43.978625774312839</v>
      </c>
      <c r="S43" s="72">
        <f t="shared" si="25"/>
        <v>45.024267009966778</v>
      </c>
      <c r="T43" s="72">
        <f t="shared" si="26"/>
        <v>33.659478438538201</v>
      </c>
      <c r="U43" s="72">
        <f t="shared" si="27"/>
        <v>11.650560564784053</v>
      </c>
      <c r="W43">
        <f t="shared" si="22"/>
        <v>54.256069906065107</v>
      </c>
      <c r="X43">
        <f t="shared" si="23"/>
        <v>45.743930093934893</v>
      </c>
      <c r="Y43" s="6">
        <v>44.012270000000001</v>
      </c>
      <c r="Z43" s="6">
        <v>35.479089999999999</v>
      </c>
      <c r="AA43" s="6">
        <v>10.53604</v>
      </c>
      <c r="AJ43" s="69">
        <v>41</v>
      </c>
      <c r="AK43" s="66">
        <v>42041</v>
      </c>
      <c r="AL43" s="6">
        <v>44.66254</v>
      </c>
      <c r="AM43" s="6">
        <v>43.944670000000002</v>
      </c>
      <c r="AO43" s="69">
        <v>41</v>
      </c>
      <c r="AP43" s="66">
        <v>42041</v>
      </c>
      <c r="AQ43" s="6">
        <v>35.094119999999997</v>
      </c>
      <c r="AR43" s="6">
        <v>35.543500000000002</v>
      </c>
      <c r="AT43" s="69">
        <v>41</v>
      </c>
      <c r="AU43" s="66">
        <v>42041</v>
      </c>
      <c r="AV43" s="6">
        <v>10.498939999999999</v>
      </c>
      <c r="AW43" s="6">
        <v>10.3127</v>
      </c>
    </row>
    <row r="44" spans="1:49" x14ac:dyDescent="0.25">
      <c r="A44" s="1">
        <v>42050</v>
      </c>
      <c r="B44" s="10" t="s">
        <v>16</v>
      </c>
      <c r="C44">
        <v>1203</v>
      </c>
      <c r="D44">
        <f t="shared" si="24"/>
        <v>0.4</v>
      </c>
      <c r="E44">
        <f t="shared" si="10"/>
        <v>481.20000000000005</v>
      </c>
      <c r="F44">
        <f t="shared" si="19"/>
        <v>55.777815448946143</v>
      </c>
      <c r="G44">
        <f t="shared" si="20"/>
        <v>44.222184551053857</v>
      </c>
      <c r="H44">
        <v>45</v>
      </c>
      <c r="I44">
        <v>34</v>
      </c>
      <c r="J44">
        <v>9.5</v>
      </c>
      <c r="K44">
        <f t="shared" si="21"/>
        <v>11.5</v>
      </c>
      <c r="O44" s="5">
        <f t="shared" si="11"/>
        <v>42050</v>
      </c>
      <c r="P44">
        <f t="shared" si="12"/>
        <v>481.20000000000005</v>
      </c>
      <c r="Q44">
        <f t="shared" si="13"/>
        <v>54.128821146747811</v>
      </c>
      <c r="R44">
        <f t="shared" si="4"/>
        <v>45.871178853252189</v>
      </c>
      <c r="S44" s="72">
        <f t="shared" si="25"/>
        <v>43.699326774199633</v>
      </c>
      <c r="T44" s="72">
        <f t="shared" si="26"/>
        <v>35.666713210887949</v>
      </c>
      <c r="U44" s="72">
        <f t="shared" si="27"/>
        <v>9.2461598886288137</v>
      </c>
      <c r="W44">
        <f t="shared" si="22"/>
        <v>54.403222976144647</v>
      </c>
      <c r="X44">
        <f t="shared" si="23"/>
        <v>45.596777023855353</v>
      </c>
      <c r="Y44" s="6">
        <v>44.096739999999997</v>
      </c>
      <c r="Z44" s="6">
        <v>35.33446</v>
      </c>
      <c r="AA44" s="6">
        <v>10.3834</v>
      </c>
      <c r="AJ44" s="69">
        <v>42</v>
      </c>
      <c r="AK44" s="66">
        <v>42050</v>
      </c>
      <c r="AL44" s="6">
        <v>44.588639999999998</v>
      </c>
      <c r="AM44" s="6">
        <v>44.134990000000002</v>
      </c>
      <c r="AO44" s="69">
        <v>42</v>
      </c>
      <c r="AP44" s="66">
        <v>42050</v>
      </c>
      <c r="AQ44" s="6">
        <v>35.19303</v>
      </c>
      <c r="AR44" s="6">
        <v>35.414830000000002</v>
      </c>
      <c r="AT44" s="69">
        <v>42</v>
      </c>
      <c r="AU44" s="66">
        <v>42050</v>
      </c>
      <c r="AV44" s="6">
        <v>9.0116599999999991</v>
      </c>
      <c r="AW44" s="6">
        <v>10.079050000000001</v>
      </c>
    </row>
    <row r="45" spans="1:49" x14ac:dyDescent="0.25">
      <c r="A45" s="1">
        <v>42054</v>
      </c>
      <c r="B45" s="10" t="s">
        <v>2</v>
      </c>
      <c r="C45">
        <v>923</v>
      </c>
      <c r="D45">
        <f t="shared" si="24"/>
        <v>1.1000000000000001</v>
      </c>
      <c r="E45">
        <f t="shared" si="10"/>
        <v>1015.3000000000001</v>
      </c>
      <c r="F45">
        <f t="shared" si="19"/>
        <v>53.468142792589248</v>
      </c>
      <c r="G45">
        <f t="shared" si="20"/>
        <v>46.531857207410752</v>
      </c>
      <c r="H45">
        <v>43</v>
      </c>
      <c r="I45">
        <v>36</v>
      </c>
      <c r="J45">
        <v>10</v>
      </c>
      <c r="K45">
        <f t="shared" si="21"/>
        <v>11</v>
      </c>
      <c r="O45" s="5">
        <f t="shared" si="11"/>
        <v>42054</v>
      </c>
      <c r="P45">
        <f t="shared" si="12"/>
        <v>1015.3000000000001</v>
      </c>
      <c r="Q45">
        <f t="shared" si="13"/>
        <v>54.287317486509259</v>
      </c>
      <c r="R45">
        <f t="shared" si="4"/>
        <v>45.712682513490741</v>
      </c>
      <c r="S45" s="72">
        <f t="shared" si="25"/>
        <v>43.3</v>
      </c>
      <c r="T45" s="72">
        <f t="shared" si="26"/>
        <v>35</v>
      </c>
      <c r="U45" s="72">
        <f t="shared" si="27"/>
        <v>10.199999999999999</v>
      </c>
      <c r="W45">
        <f t="shared" si="22"/>
        <v>54.290583918030947</v>
      </c>
      <c r="X45">
        <f t="shared" si="23"/>
        <v>45.709416081969053</v>
      </c>
      <c r="Y45" s="6">
        <v>43.991390000000003</v>
      </c>
      <c r="Z45" s="6">
        <v>35.445729999999998</v>
      </c>
      <c r="AA45" s="6">
        <v>10.28618</v>
      </c>
      <c r="AJ45" s="69">
        <v>43</v>
      </c>
      <c r="AK45" s="66">
        <v>42054</v>
      </c>
      <c r="AL45" s="6">
        <v>43.3</v>
      </c>
      <c r="AM45" s="6">
        <v>44.219580000000001</v>
      </c>
      <c r="AO45" s="69">
        <v>43</v>
      </c>
      <c r="AP45" s="66">
        <v>42054</v>
      </c>
      <c r="AQ45" s="6">
        <v>35</v>
      </c>
      <c r="AR45" s="6">
        <v>35.357640000000004</v>
      </c>
      <c r="AT45" s="69">
        <v>43</v>
      </c>
      <c r="AU45" s="66">
        <v>42054</v>
      </c>
      <c r="AV45" s="6">
        <v>10.199999999999999</v>
      </c>
      <c r="AW45" s="6">
        <v>9.9751999999999992</v>
      </c>
    </row>
    <row r="46" spans="1:49" x14ac:dyDescent="0.25">
      <c r="A46" s="1">
        <v>42056</v>
      </c>
      <c r="B46" s="10" t="s">
        <v>15</v>
      </c>
      <c r="C46">
        <v>418</v>
      </c>
      <c r="D46">
        <f t="shared" si="24"/>
        <v>1.5</v>
      </c>
      <c r="E46">
        <f t="shared" si="10"/>
        <v>627</v>
      </c>
      <c r="F46">
        <f t="shared" si="19"/>
        <v>53.418779289706954</v>
      </c>
      <c r="G46">
        <f t="shared" si="20"/>
        <v>46.581220710293046</v>
      </c>
      <c r="H46">
        <v>43</v>
      </c>
      <c r="I46">
        <v>36</v>
      </c>
      <c r="J46">
        <v>10.5</v>
      </c>
      <c r="K46">
        <f t="shared" si="21"/>
        <v>10.5</v>
      </c>
      <c r="O46" s="5">
        <f t="shared" si="11"/>
        <v>42056</v>
      </c>
      <c r="P46">
        <f t="shared" si="12"/>
        <v>627</v>
      </c>
      <c r="Q46">
        <f t="shared" si="13"/>
        <v>54.106604074768541</v>
      </c>
      <c r="R46">
        <f t="shared" si="4"/>
        <v>45.893395925231459</v>
      </c>
      <c r="S46" s="72">
        <f t="shared" si="25"/>
        <v>44</v>
      </c>
      <c r="T46" s="72">
        <f t="shared" si="26"/>
        <v>36</v>
      </c>
      <c r="U46" s="72">
        <f t="shared" si="27"/>
        <v>9.5</v>
      </c>
      <c r="W46">
        <f t="shared" si="22"/>
        <v>54.234259688431798</v>
      </c>
      <c r="X46">
        <f t="shared" si="23"/>
        <v>45.765740311568202</v>
      </c>
      <c r="Y46" s="6">
        <v>43.938720000000004</v>
      </c>
      <c r="Z46" s="6">
        <v>35.501370000000001</v>
      </c>
      <c r="AA46" s="6">
        <v>10.237579999999999</v>
      </c>
      <c r="AJ46" s="69">
        <v>44</v>
      </c>
      <c r="AK46" s="66">
        <v>42056</v>
      </c>
      <c r="AL46" s="6">
        <v>44</v>
      </c>
      <c r="AM46" s="6">
        <v>44.265599999999999</v>
      </c>
      <c r="AO46" s="69">
        <v>44</v>
      </c>
      <c r="AP46" s="66">
        <v>42056</v>
      </c>
      <c r="AQ46" s="6">
        <v>36</v>
      </c>
      <c r="AR46" s="6">
        <v>35.32349</v>
      </c>
      <c r="AT46" s="69">
        <v>44</v>
      </c>
      <c r="AU46" s="66">
        <v>42056</v>
      </c>
      <c r="AV46" s="6">
        <v>9.5</v>
      </c>
      <c r="AW46" s="6">
        <v>10.00962</v>
      </c>
    </row>
    <row r="47" spans="1:49" x14ac:dyDescent="0.25">
      <c r="A47" s="1">
        <v>42060</v>
      </c>
      <c r="B47" s="10" t="s">
        <v>1</v>
      </c>
      <c r="C47">
        <v>1119</v>
      </c>
      <c r="D47">
        <f t="shared" si="24"/>
        <v>1</v>
      </c>
      <c r="E47">
        <f t="shared" si="10"/>
        <v>1119</v>
      </c>
      <c r="F47">
        <f t="shared" si="19"/>
        <v>53.369454791737212</v>
      </c>
      <c r="G47">
        <f t="shared" si="20"/>
        <v>46.630545208262788</v>
      </c>
      <c r="H47">
        <v>43</v>
      </c>
      <c r="I47">
        <v>36</v>
      </c>
      <c r="J47">
        <v>11</v>
      </c>
      <c r="K47">
        <f t="shared" si="21"/>
        <v>10</v>
      </c>
      <c r="O47" s="5">
        <f t="shared" si="11"/>
        <v>42060</v>
      </c>
      <c r="P47">
        <f t="shared" si="12"/>
        <v>1119</v>
      </c>
      <c r="Q47">
        <f t="shared" si="13"/>
        <v>53.31904660851896</v>
      </c>
      <c r="R47">
        <f t="shared" si="4"/>
        <v>46.68095339148104</v>
      </c>
      <c r="S47" s="72">
        <f t="shared" si="25"/>
        <v>43.6</v>
      </c>
      <c r="T47" s="72">
        <f t="shared" si="26"/>
        <v>37</v>
      </c>
      <c r="U47" s="72">
        <f t="shared" si="27"/>
        <v>10</v>
      </c>
      <c r="W47">
        <f t="shared" si="22"/>
        <v>54.169269622548732</v>
      </c>
      <c r="X47">
        <f t="shared" si="23"/>
        <v>45.830730377451268</v>
      </c>
      <c r="Y47" s="6">
        <v>43.972389999999997</v>
      </c>
      <c r="Z47" s="6">
        <v>35.623989999999999</v>
      </c>
      <c r="AA47" s="6">
        <v>10.309530000000001</v>
      </c>
      <c r="AJ47" s="69">
        <v>45</v>
      </c>
      <c r="AK47" s="66">
        <v>42060</v>
      </c>
      <c r="AL47" s="6">
        <v>43.6</v>
      </c>
      <c r="AM47" s="6">
        <v>44.35763</v>
      </c>
      <c r="AO47" s="69">
        <v>45</v>
      </c>
      <c r="AP47" s="66">
        <v>42060</v>
      </c>
      <c r="AQ47" s="6">
        <v>37</v>
      </c>
      <c r="AR47" s="6">
        <v>35.255189999999999</v>
      </c>
      <c r="AT47" s="69">
        <v>45</v>
      </c>
      <c r="AU47" s="66">
        <v>42060</v>
      </c>
      <c r="AV47" s="6">
        <v>10</v>
      </c>
      <c r="AW47" s="6">
        <v>10.078440000000001</v>
      </c>
    </row>
    <row r="48" spans="1:49" x14ac:dyDescent="0.25">
      <c r="A48" s="1">
        <v>42061</v>
      </c>
      <c r="B48" s="10" t="s">
        <v>14</v>
      </c>
      <c r="C48">
        <v>1496</v>
      </c>
      <c r="D48">
        <f t="shared" si="24"/>
        <v>0.4</v>
      </c>
      <c r="E48">
        <f t="shared" si="10"/>
        <v>598.4</v>
      </c>
      <c r="F48">
        <f t="shared" si="19"/>
        <v>54.903902417068018</v>
      </c>
      <c r="G48">
        <f t="shared" si="20"/>
        <v>45.096097582931982</v>
      </c>
      <c r="H48">
        <v>44.6</v>
      </c>
      <c r="I48">
        <v>35</v>
      </c>
      <c r="J48">
        <v>10</v>
      </c>
      <c r="K48">
        <f t="shared" si="21"/>
        <v>10.400000000000006</v>
      </c>
      <c r="O48" s="5">
        <f t="shared" si="11"/>
        <v>42061</v>
      </c>
      <c r="P48">
        <f t="shared" si="12"/>
        <v>598.4</v>
      </c>
      <c r="Q48">
        <f t="shared" si="13"/>
        <v>54.237044064327023</v>
      </c>
      <c r="R48">
        <f t="shared" si="4"/>
        <v>45.762955935672977</v>
      </c>
      <c r="S48" s="72">
        <f t="shared" si="25"/>
        <v>43.996898000000002</v>
      </c>
      <c r="T48" s="72">
        <f t="shared" si="26"/>
        <v>35.767675333333337</v>
      </c>
      <c r="U48" s="72">
        <f t="shared" si="27"/>
        <v>10.393804000000001</v>
      </c>
      <c r="W48">
        <f t="shared" si="22"/>
        <v>54.153041937664817</v>
      </c>
      <c r="X48">
        <f t="shared" si="23"/>
        <v>45.846958062335183</v>
      </c>
      <c r="Y48" s="6">
        <v>43.980809999999998</v>
      </c>
      <c r="Z48" s="6">
        <v>35.654649999999997</v>
      </c>
      <c r="AA48" s="6">
        <v>10.32752</v>
      </c>
      <c r="AJ48" s="69">
        <v>46</v>
      </c>
      <c r="AK48" s="66">
        <v>42061</v>
      </c>
      <c r="AL48" s="6">
        <v>44.579920000000001</v>
      </c>
      <c r="AM48" s="6">
        <v>44.38064</v>
      </c>
      <c r="AO48" s="69">
        <v>46</v>
      </c>
      <c r="AP48" s="66">
        <v>42061</v>
      </c>
      <c r="AQ48" s="6">
        <v>35.48601</v>
      </c>
      <c r="AR48" s="6">
        <v>35.238120000000002</v>
      </c>
      <c r="AT48" s="69">
        <v>46</v>
      </c>
      <c r="AU48" s="66">
        <v>42061</v>
      </c>
      <c r="AV48" s="6">
        <v>10.100350000000001</v>
      </c>
      <c r="AW48" s="6">
        <v>10.104340000000001</v>
      </c>
    </row>
    <row r="49" spans="1:49" x14ac:dyDescent="0.25">
      <c r="A49" s="1">
        <v>42068</v>
      </c>
      <c r="B49" s="10" t="s">
        <v>14</v>
      </c>
      <c r="C49">
        <v>1731</v>
      </c>
      <c r="D49">
        <f t="shared" si="24"/>
        <v>0.4</v>
      </c>
      <c r="E49">
        <f t="shared" si="10"/>
        <v>692.40000000000009</v>
      </c>
      <c r="F49">
        <f t="shared" si="19"/>
        <v>54.701531362392267</v>
      </c>
      <c r="G49">
        <f t="shared" si="20"/>
        <v>45.298468637607733</v>
      </c>
      <c r="H49">
        <v>44</v>
      </c>
      <c r="I49">
        <v>34.799999999999997</v>
      </c>
      <c r="J49">
        <v>10.199999999999999</v>
      </c>
      <c r="K49">
        <f t="shared" si="21"/>
        <v>11</v>
      </c>
      <c r="L49">
        <v>53</v>
      </c>
      <c r="M49">
        <f>L49-F49</f>
        <v>-1.7015313623922665</v>
      </c>
      <c r="O49" s="5">
        <f t="shared" si="11"/>
        <v>42068</v>
      </c>
      <c r="P49">
        <f t="shared" si="12"/>
        <v>692.40000000000009</v>
      </c>
      <c r="Q49">
        <f t="shared" si="13"/>
        <v>54.016238989985808</v>
      </c>
      <c r="R49">
        <f t="shared" si="4"/>
        <v>45.983761010014192</v>
      </c>
      <c r="S49" s="72">
        <f t="shared" si="25"/>
        <v>43.396898</v>
      </c>
      <c r="T49" s="72">
        <f t="shared" si="26"/>
        <v>35.567675333333334</v>
      </c>
      <c r="U49" s="72">
        <f t="shared" si="27"/>
        <v>10.593804</v>
      </c>
      <c r="W49">
        <f t="shared" si="22"/>
        <v>54.562827906016118</v>
      </c>
      <c r="X49">
        <f t="shared" si="23"/>
        <v>45.437172093983882</v>
      </c>
      <c r="Y49" s="6">
        <v>44.314129999999999</v>
      </c>
      <c r="Z49" s="6">
        <v>35.229050000000001</v>
      </c>
      <c r="AA49" s="6">
        <v>10.547499999999999</v>
      </c>
      <c r="AJ49" s="69">
        <v>47</v>
      </c>
      <c r="AK49" s="66">
        <v>42068</v>
      </c>
      <c r="AL49" s="6">
        <v>43.97992</v>
      </c>
      <c r="AM49" s="6">
        <v>44.549230000000001</v>
      </c>
      <c r="AO49" s="69">
        <v>47</v>
      </c>
      <c r="AP49" s="66">
        <v>42068</v>
      </c>
      <c r="AQ49" s="6">
        <v>35.286009999999997</v>
      </c>
      <c r="AR49" s="6">
        <v>35.10819</v>
      </c>
      <c r="AT49" s="69">
        <v>47</v>
      </c>
      <c r="AU49" s="66">
        <v>42068</v>
      </c>
      <c r="AV49" s="6">
        <v>10.30035</v>
      </c>
      <c r="AW49" s="6">
        <v>10.32315</v>
      </c>
    </row>
    <row r="50" spans="1:49" x14ac:dyDescent="0.25">
      <c r="A50" s="1">
        <v>42075</v>
      </c>
      <c r="B50" s="10" t="s">
        <v>2</v>
      </c>
      <c r="C50">
        <v>820</v>
      </c>
      <c r="D50">
        <f t="shared" si="24"/>
        <v>1.1000000000000001</v>
      </c>
      <c r="E50">
        <f t="shared" si="10"/>
        <v>902.00000000000011</v>
      </c>
      <c r="F50">
        <f t="shared" si="19"/>
        <v>53.984287317620662</v>
      </c>
      <c r="G50">
        <f t="shared" si="20"/>
        <v>46.015712682379338</v>
      </c>
      <c r="H50">
        <v>44</v>
      </c>
      <c r="I50">
        <v>36</v>
      </c>
      <c r="J50">
        <v>10</v>
      </c>
      <c r="K50">
        <f t="shared" si="21"/>
        <v>10</v>
      </c>
      <c r="O50" s="5">
        <f t="shared" si="11"/>
        <v>42075</v>
      </c>
      <c r="P50">
        <f t="shared" si="12"/>
        <v>902.00000000000011</v>
      </c>
      <c r="Q50">
        <f t="shared" si="13"/>
        <v>54.844693677600063</v>
      </c>
      <c r="R50">
        <f t="shared" si="4"/>
        <v>45.155306322399937</v>
      </c>
      <c r="S50" s="72">
        <f t="shared" si="25"/>
        <v>44.3</v>
      </c>
      <c r="T50" s="72">
        <f t="shared" si="26"/>
        <v>35</v>
      </c>
      <c r="U50" s="72">
        <f t="shared" si="27"/>
        <v>10.199999999999999</v>
      </c>
      <c r="W50">
        <f t="shared" si="22"/>
        <v>54.972966694723858</v>
      </c>
      <c r="X50">
        <f t="shared" si="23"/>
        <v>45.027033305276142</v>
      </c>
      <c r="Y50" s="6">
        <v>44.647440000000003</v>
      </c>
      <c r="Z50" s="6">
        <v>34.803440000000002</v>
      </c>
      <c r="AA50" s="6">
        <v>10.767480000000001</v>
      </c>
      <c r="AJ50" s="69">
        <v>48</v>
      </c>
      <c r="AK50" s="66">
        <v>42075</v>
      </c>
      <c r="AL50" s="6">
        <v>44.3</v>
      </c>
      <c r="AM50" s="6">
        <v>44.717829999999999</v>
      </c>
      <c r="AO50" s="69">
        <v>48</v>
      </c>
      <c r="AP50" s="66">
        <v>42075</v>
      </c>
      <c r="AQ50" s="6">
        <v>35</v>
      </c>
      <c r="AR50" s="6">
        <v>34.978259999999999</v>
      </c>
      <c r="AT50" s="69">
        <v>48</v>
      </c>
      <c r="AU50" s="66">
        <v>42075</v>
      </c>
      <c r="AV50" s="6">
        <v>10.199999999999999</v>
      </c>
      <c r="AW50" s="6">
        <v>10.54196</v>
      </c>
    </row>
    <row r="51" spans="1:49" x14ac:dyDescent="0.25">
      <c r="A51" s="1">
        <v>42077</v>
      </c>
      <c r="B51" s="10" t="s">
        <v>16</v>
      </c>
      <c r="C51">
        <v>1287</v>
      </c>
      <c r="D51">
        <f t="shared" si="24"/>
        <v>0.4</v>
      </c>
      <c r="E51">
        <f t="shared" si="10"/>
        <v>514.80000000000007</v>
      </c>
      <c r="F51">
        <f t="shared" si="19"/>
        <v>56.639201838461972</v>
      </c>
      <c r="G51">
        <f t="shared" si="20"/>
        <v>43.360798161538028</v>
      </c>
      <c r="H51">
        <v>46.5</v>
      </c>
      <c r="I51">
        <v>33.5</v>
      </c>
      <c r="J51">
        <v>11.5</v>
      </c>
      <c r="K51">
        <f t="shared" si="21"/>
        <v>8.5</v>
      </c>
      <c r="O51" s="5">
        <f t="shared" si="11"/>
        <v>42077</v>
      </c>
      <c r="P51">
        <f t="shared" si="12"/>
        <v>514.80000000000007</v>
      </c>
      <c r="Q51">
        <f t="shared" si="13"/>
        <v>55.244293192408335</v>
      </c>
      <c r="R51">
        <f t="shared" si="4"/>
        <v>44.755706807591665</v>
      </c>
      <c r="S51" s="72">
        <f t="shared" si="25"/>
        <v>45.199326774199633</v>
      </c>
      <c r="T51" s="72">
        <f t="shared" si="26"/>
        <v>35.166713210887949</v>
      </c>
      <c r="U51" s="72">
        <f t="shared" si="27"/>
        <v>11.246159888628814</v>
      </c>
      <c r="W51">
        <f t="shared" si="22"/>
        <v>55.154971981816516</v>
      </c>
      <c r="X51">
        <f t="shared" si="23"/>
        <v>44.845028018183484</v>
      </c>
      <c r="Y51" s="6">
        <v>44.74268</v>
      </c>
      <c r="Z51" s="6">
        <v>34.577240000000003</v>
      </c>
      <c r="AA51" s="6">
        <v>10.83034</v>
      </c>
      <c r="AJ51" s="69">
        <v>49</v>
      </c>
      <c r="AK51" s="66">
        <v>42077</v>
      </c>
      <c r="AL51" s="6">
        <v>46.088639999999998</v>
      </c>
      <c r="AM51" s="6">
        <v>44.765999999999998</v>
      </c>
      <c r="AO51" s="69">
        <v>49</v>
      </c>
      <c r="AP51" s="66">
        <v>42077</v>
      </c>
      <c r="AQ51" s="6">
        <v>34.69303</v>
      </c>
      <c r="AR51" s="6">
        <v>34.941139999999997</v>
      </c>
      <c r="AT51" s="69">
        <v>49</v>
      </c>
      <c r="AU51" s="66">
        <v>42077</v>
      </c>
      <c r="AV51" s="6">
        <v>11.011659999999999</v>
      </c>
      <c r="AW51" s="6">
        <v>10.6098</v>
      </c>
    </row>
    <row r="52" spans="1:49" x14ac:dyDescent="0.25">
      <c r="A52" s="1">
        <v>42078</v>
      </c>
      <c r="B52" s="10" t="s">
        <v>186</v>
      </c>
      <c r="C52">
        <v>1565</v>
      </c>
      <c r="D52">
        <f t="shared" si="24"/>
        <v>0.2</v>
      </c>
      <c r="E52">
        <f t="shared" si="10"/>
        <v>313</v>
      </c>
      <c r="F52">
        <f t="shared" si="19"/>
        <v>56.228956228956243</v>
      </c>
      <c r="G52">
        <f t="shared" si="20"/>
        <v>43.771043771043757</v>
      </c>
      <c r="H52">
        <v>46</v>
      </c>
      <c r="I52">
        <v>34</v>
      </c>
      <c r="J52">
        <v>10</v>
      </c>
      <c r="K52">
        <f t="shared" si="21"/>
        <v>10</v>
      </c>
      <c r="O52" s="5">
        <f t="shared" si="11"/>
        <v>42078</v>
      </c>
      <c r="P52">
        <f t="shared" si="12"/>
        <v>313</v>
      </c>
      <c r="Q52">
        <f t="shared" si="13"/>
        <v>53.377652083267805</v>
      </c>
      <c r="R52">
        <f t="shared" si="4"/>
        <v>46.622347916732195</v>
      </c>
      <c r="S52" s="72">
        <f t="shared" si="25"/>
        <v>43.58499880952381</v>
      </c>
      <c r="T52" s="72">
        <f t="shared" si="26"/>
        <v>36.880693571428566</v>
      </c>
      <c r="U52" s="72">
        <f t="shared" si="27"/>
        <v>10.082534047619049</v>
      </c>
      <c r="W52">
        <f t="shared" ref="W52:W56" si="28">(Y52+((AA52*0.18)+((100-SUM(Y52:AA52))*0.23)))/((Z52+((AA52*0.31)+((100-SUM(Y52:AA52))*0.19)))+(Y52+((AA52*0.18)+((100-SUM(Y52:AA52))*0.23))))*100</f>
        <v>55.249782699484882</v>
      </c>
      <c r="X52">
        <f t="shared" ref="X52:X56" si="29">100-W52</f>
        <v>44.750217300515118</v>
      </c>
      <c r="Y52" s="6">
        <v>44.795780000000001</v>
      </c>
      <c r="Z52" s="6">
        <v>34.461970000000001</v>
      </c>
      <c r="AA52" s="6">
        <v>10.866020000000001</v>
      </c>
      <c r="AJ52" s="69"/>
      <c r="AK52" s="66"/>
      <c r="AL52" s="6"/>
      <c r="AM52" s="6"/>
      <c r="AO52" s="69"/>
      <c r="AP52" s="66"/>
      <c r="AQ52" s="6"/>
      <c r="AR52" s="6"/>
      <c r="AT52" s="69"/>
      <c r="AU52" s="66"/>
      <c r="AV52" s="6"/>
      <c r="AW52" s="6"/>
    </row>
    <row r="53" spans="1:49" x14ac:dyDescent="0.25">
      <c r="A53" s="1">
        <v>42082</v>
      </c>
      <c r="B53" s="10" t="s">
        <v>2</v>
      </c>
      <c r="C53">
        <v>820</v>
      </c>
      <c r="D53">
        <f t="shared" si="24"/>
        <v>1.1000000000000001</v>
      </c>
      <c r="E53">
        <f t="shared" si="10"/>
        <v>902.00000000000011</v>
      </c>
      <c r="F53">
        <f t="shared" si="19"/>
        <v>54.493755575379119</v>
      </c>
      <c r="G53">
        <f t="shared" si="20"/>
        <v>45.506244424620881</v>
      </c>
      <c r="H53">
        <v>45</v>
      </c>
      <c r="I53">
        <v>36</v>
      </c>
      <c r="J53">
        <v>10</v>
      </c>
      <c r="K53">
        <f t="shared" si="21"/>
        <v>9</v>
      </c>
      <c r="O53" s="5">
        <f t="shared" si="11"/>
        <v>42082</v>
      </c>
      <c r="P53">
        <f t="shared" si="12"/>
        <v>902.00000000000011</v>
      </c>
      <c r="Q53">
        <f t="shared" si="13"/>
        <v>55.395163677567652</v>
      </c>
      <c r="R53">
        <f t="shared" si="4"/>
        <v>44.604836322432348</v>
      </c>
      <c r="S53" s="72">
        <f t="shared" si="25"/>
        <v>45.3</v>
      </c>
      <c r="T53" s="72">
        <f t="shared" si="26"/>
        <v>35</v>
      </c>
      <c r="U53" s="72">
        <f t="shared" si="27"/>
        <v>10.199999999999999</v>
      </c>
      <c r="W53">
        <f t="shared" si="28"/>
        <v>55.629742051984685</v>
      </c>
      <c r="X53">
        <f t="shared" si="29"/>
        <v>44.370257948015315</v>
      </c>
      <c r="Y53" s="6">
        <v>45.00817</v>
      </c>
      <c r="Z53" s="6">
        <v>34.000880000000002</v>
      </c>
      <c r="AA53" s="6">
        <v>11.00877</v>
      </c>
      <c r="AJ53" s="69">
        <v>50</v>
      </c>
      <c r="AK53" s="66">
        <v>42082</v>
      </c>
      <c r="AL53" s="6">
        <v>45.3</v>
      </c>
      <c r="AM53" s="6">
        <v>44.895229999999998</v>
      </c>
      <c r="AO53" s="69">
        <v>50</v>
      </c>
      <c r="AP53" s="66">
        <v>42082</v>
      </c>
      <c r="AQ53" s="6">
        <v>35</v>
      </c>
      <c r="AR53" s="6">
        <v>34.837890000000002</v>
      </c>
      <c r="AT53" s="69">
        <v>50</v>
      </c>
      <c r="AU53" s="66">
        <v>42082</v>
      </c>
      <c r="AV53" s="6">
        <v>10.199999999999999</v>
      </c>
      <c r="AW53" s="6">
        <v>10.78304</v>
      </c>
    </row>
    <row r="54" spans="1:49" x14ac:dyDescent="0.25">
      <c r="A54" s="1">
        <v>42083</v>
      </c>
      <c r="B54" s="10" t="s">
        <v>17</v>
      </c>
      <c r="C54">
        <v>1223</v>
      </c>
      <c r="D54">
        <f t="shared" si="24"/>
        <v>0.4</v>
      </c>
      <c r="E54">
        <f t="shared" si="10"/>
        <v>489.20000000000005</v>
      </c>
      <c r="F54">
        <f t="shared" si="19"/>
        <v>57.680604079792644</v>
      </c>
      <c r="G54">
        <f t="shared" si="20"/>
        <v>42.319395920207356</v>
      </c>
      <c r="H54">
        <v>47</v>
      </c>
      <c r="I54">
        <v>32</v>
      </c>
      <c r="J54">
        <v>13</v>
      </c>
      <c r="K54">
        <f t="shared" si="21"/>
        <v>8</v>
      </c>
      <c r="O54" s="5">
        <f t="shared" si="11"/>
        <v>42083</v>
      </c>
      <c r="P54">
        <f t="shared" si="12"/>
        <v>489.20000000000005</v>
      </c>
      <c r="Q54">
        <f t="shared" si="13"/>
        <v>57.750310986684283</v>
      </c>
      <c r="R54">
        <f t="shared" si="4"/>
        <v>42.249689013315717</v>
      </c>
      <c r="S54" s="72">
        <f t="shared" si="25"/>
        <v>46.024267009966778</v>
      </c>
      <c r="T54" s="72">
        <f t="shared" si="26"/>
        <v>31.659478438538205</v>
      </c>
      <c r="U54" s="72">
        <f t="shared" si="27"/>
        <v>12.650560564784053</v>
      </c>
      <c r="W54">
        <f t="shared" si="28"/>
        <v>55.726811313987632</v>
      </c>
      <c r="X54">
        <f t="shared" si="29"/>
        <v>44.273188686012368</v>
      </c>
      <c r="Y54" s="6">
        <v>45.06127</v>
      </c>
      <c r="Z54" s="6">
        <v>33.882570000000001</v>
      </c>
      <c r="AA54" s="6">
        <v>11.044449999999999</v>
      </c>
      <c r="AJ54" s="69">
        <v>51</v>
      </c>
      <c r="AK54" s="66">
        <v>42083</v>
      </c>
      <c r="AL54" s="6">
        <v>45.66254</v>
      </c>
      <c r="AM54" s="6">
        <v>44.921080000000003</v>
      </c>
      <c r="AO54" s="69">
        <v>51</v>
      </c>
      <c r="AP54" s="66">
        <v>42083</v>
      </c>
      <c r="AQ54" s="6">
        <v>33.094119999999997</v>
      </c>
      <c r="AR54" s="6">
        <v>34.817239999999998</v>
      </c>
      <c r="AT54" s="69">
        <v>51</v>
      </c>
      <c r="AU54" s="66">
        <v>42083</v>
      </c>
      <c r="AV54" s="6">
        <v>11.498939999999999</v>
      </c>
      <c r="AW54" s="6">
        <v>10.817690000000001</v>
      </c>
    </row>
    <row r="55" spans="1:49" x14ac:dyDescent="0.25">
      <c r="A55" s="1">
        <v>42084</v>
      </c>
      <c r="B55" s="10" t="s">
        <v>186</v>
      </c>
      <c r="C55">
        <v>3251</v>
      </c>
      <c r="D55">
        <f t="shared" si="24"/>
        <v>0.2</v>
      </c>
      <c r="E55">
        <f t="shared" si="10"/>
        <v>650.20000000000005</v>
      </c>
      <c r="F55">
        <f t="shared" si="19"/>
        <v>58.527440063629129</v>
      </c>
      <c r="G55">
        <f t="shared" si="20"/>
        <v>41.472559936370871</v>
      </c>
      <c r="H55">
        <v>47</v>
      </c>
      <c r="I55">
        <v>31</v>
      </c>
      <c r="J55">
        <v>11</v>
      </c>
      <c r="K55">
        <f t="shared" si="21"/>
        <v>11</v>
      </c>
      <c r="O55" s="5">
        <f t="shared" si="11"/>
        <v>42084</v>
      </c>
      <c r="P55">
        <f t="shared" si="12"/>
        <v>650.20000000000005</v>
      </c>
      <c r="Q55">
        <f t="shared" si="13"/>
        <v>55.6505038132564</v>
      </c>
      <c r="R55">
        <f t="shared" si="4"/>
        <v>44.3494961867436</v>
      </c>
      <c r="S55" s="72">
        <f t="shared" si="25"/>
        <v>44.58499880952381</v>
      </c>
      <c r="T55" s="72">
        <f t="shared" si="26"/>
        <v>33.880693571428566</v>
      </c>
      <c r="U55" s="72">
        <f t="shared" si="27"/>
        <v>11.082534047619049</v>
      </c>
      <c r="W55">
        <f t="shared" si="28"/>
        <v>55.825631273775898</v>
      </c>
      <c r="X55">
        <f t="shared" si="29"/>
        <v>44.174368726224102</v>
      </c>
      <c r="Y55" s="6">
        <v>45.115400000000001</v>
      </c>
      <c r="Z55" s="6">
        <v>33.762189999999997</v>
      </c>
      <c r="AA55" s="6">
        <v>11.081530000000001</v>
      </c>
      <c r="AJ55" s="69"/>
      <c r="AK55" s="66"/>
      <c r="AL55" s="6"/>
      <c r="AM55" s="6"/>
      <c r="AO55" s="69"/>
      <c r="AP55" s="66"/>
      <c r="AQ55" s="6"/>
      <c r="AR55" s="6"/>
      <c r="AT55" s="69"/>
      <c r="AU55" s="66"/>
      <c r="AV55" s="6"/>
      <c r="AW55" s="6"/>
    </row>
    <row r="56" spans="1:49" x14ac:dyDescent="0.25">
      <c r="A56" s="1">
        <v>42085</v>
      </c>
      <c r="B56" s="10" t="s">
        <v>16</v>
      </c>
      <c r="C56">
        <v>1211</v>
      </c>
      <c r="D56">
        <f t="shared" si="24"/>
        <v>0.4</v>
      </c>
      <c r="E56">
        <f t="shared" si="10"/>
        <v>484.40000000000003</v>
      </c>
      <c r="F56">
        <f t="shared" si="19"/>
        <v>56.721162579473209</v>
      </c>
      <c r="G56">
        <f t="shared" si="20"/>
        <v>43.278837420526791</v>
      </c>
      <c r="H56">
        <v>45.5</v>
      </c>
      <c r="I56">
        <v>32.5</v>
      </c>
      <c r="J56">
        <v>12</v>
      </c>
      <c r="K56">
        <f t="shared" si="21"/>
        <v>10</v>
      </c>
      <c r="O56" s="5">
        <f t="shared" si="11"/>
        <v>42085</v>
      </c>
      <c r="P56">
        <f t="shared" si="12"/>
        <v>484.40000000000003</v>
      </c>
      <c r="Q56">
        <f t="shared" si="13"/>
        <v>55.270667247473824</v>
      </c>
      <c r="R56">
        <f t="shared" si="4"/>
        <v>44.729332752526176</v>
      </c>
      <c r="S56" s="72">
        <f t="shared" si="25"/>
        <v>44.199326774199633</v>
      </c>
      <c r="T56" s="72">
        <f t="shared" si="26"/>
        <v>34.166713210887949</v>
      </c>
      <c r="U56" s="72">
        <f t="shared" si="27"/>
        <v>11.746159888628814</v>
      </c>
      <c r="W56">
        <f t="shared" si="28"/>
        <v>55.924531258531616</v>
      </c>
      <c r="X56">
        <f t="shared" si="29"/>
        <v>44.075468741468384</v>
      </c>
      <c r="Y56" s="6">
        <v>45.169530000000002</v>
      </c>
      <c r="Z56" s="6">
        <v>33.64181</v>
      </c>
      <c r="AA56" s="6">
        <v>11.11861</v>
      </c>
      <c r="AJ56" s="69">
        <v>52</v>
      </c>
      <c r="AK56" s="66">
        <v>42085</v>
      </c>
      <c r="AL56" s="6">
        <v>45.088639999999998</v>
      </c>
      <c r="AM56" s="6">
        <v>44.972769999999997</v>
      </c>
      <c r="AO56" s="69">
        <v>52</v>
      </c>
      <c r="AP56" s="66">
        <v>42085</v>
      </c>
      <c r="AQ56" s="6">
        <v>33.69303</v>
      </c>
      <c r="AR56" s="6">
        <v>34.775950000000002</v>
      </c>
      <c r="AT56" s="69">
        <v>52</v>
      </c>
      <c r="AU56" s="66">
        <v>42085</v>
      </c>
      <c r="AV56" s="6">
        <v>11.511659999999999</v>
      </c>
      <c r="AW56" s="6">
        <v>10.888389999999999</v>
      </c>
    </row>
    <row r="57" spans="1:49" x14ac:dyDescent="0.25">
      <c r="A57" s="1">
        <v>42088</v>
      </c>
      <c r="B57" s="10" t="s">
        <v>2</v>
      </c>
      <c r="C57">
        <v>1300</v>
      </c>
      <c r="D57">
        <f t="shared" si="24"/>
        <v>1.1000000000000001</v>
      </c>
      <c r="E57">
        <f t="shared" si="10"/>
        <v>1430.0000000000002</v>
      </c>
      <c r="F57">
        <f t="shared" si="19"/>
        <v>55.627045941979901</v>
      </c>
      <c r="G57">
        <f t="shared" si="20"/>
        <v>44.372954058020099</v>
      </c>
      <c r="H57">
        <v>45</v>
      </c>
      <c r="I57">
        <v>34</v>
      </c>
      <c r="J57">
        <v>11</v>
      </c>
      <c r="K57">
        <f t="shared" si="21"/>
        <v>10</v>
      </c>
      <c r="O57" s="5">
        <f t="shared" si="11"/>
        <v>42088</v>
      </c>
      <c r="P57">
        <f t="shared" si="12"/>
        <v>1430.0000000000002</v>
      </c>
      <c r="Q57">
        <f t="shared" si="13"/>
        <v>56.559565469838049</v>
      </c>
      <c r="R57">
        <f t="shared" si="4"/>
        <v>43.440434530161951</v>
      </c>
      <c r="S57" s="72">
        <f t="shared" si="25"/>
        <v>45.3</v>
      </c>
      <c r="T57" s="72">
        <f t="shared" si="26"/>
        <v>33</v>
      </c>
      <c r="U57" s="72">
        <f t="shared" si="27"/>
        <v>11.2</v>
      </c>
      <c r="W57">
        <f t="shared" ref="W57" si="30">(Y57+((AA57*0.18)+((100-SUM(Y57:AA57))*0.23)))/((Z57+((AA57*0.31)+((100-SUM(Y57:AA57))*0.19)))+(Y57+((AA57*0.18)+((100-SUM(Y57:AA57))*0.23))))*100</f>
        <v>56.228633654686043</v>
      </c>
      <c r="X57">
        <f t="shared" ref="X57" si="31">100-W57</f>
        <v>43.771366345313957</v>
      </c>
      <c r="Y57" s="6">
        <v>45.33193</v>
      </c>
      <c r="Z57" s="6">
        <v>33.269680000000001</v>
      </c>
      <c r="AA57" s="6">
        <v>11.229839999999999</v>
      </c>
      <c r="AJ57" s="73"/>
      <c r="AK57" s="66"/>
      <c r="AL57" s="6"/>
      <c r="AM57" s="6"/>
      <c r="AO57" s="73"/>
      <c r="AP57" s="66"/>
      <c r="AQ57" s="6"/>
      <c r="AR57" s="6"/>
      <c r="AT57" s="73"/>
      <c r="AU57" s="66"/>
      <c r="AV57" s="6"/>
      <c r="AW57" s="6"/>
    </row>
    <row r="58" spans="1:49" x14ac:dyDescent="0.25">
      <c r="A58" s="1">
        <v>42088</v>
      </c>
      <c r="B58" s="10" t="s">
        <v>1</v>
      </c>
      <c r="C58">
        <v>1596</v>
      </c>
      <c r="D58">
        <f t="shared" si="24"/>
        <v>1</v>
      </c>
      <c r="E58">
        <f t="shared" si="10"/>
        <v>1596</v>
      </c>
      <c r="F58">
        <f t="shared" si="19"/>
        <v>55.118736507215097</v>
      </c>
      <c r="G58">
        <f t="shared" si="20"/>
        <v>44.881263492784903</v>
      </c>
      <c r="H58">
        <v>44</v>
      </c>
      <c r="I58">
        <v>34</v>
      </c>
      <c r="J58">
        <v>11</v>
      </c>
      <c r="K58">
        <f t="shared" si="21"/>
        <v>11</v>
      </c>
      <c r="O58" s="5">
        <f t="shared" si="11"/>
        <v>42088</v>
      </c>
      <c r="P58">
        <f t="shared" si="12"/>
        <v>1596</v>
      </c>
      <c r="Q58">
        <f t="shared" si="13"/>
        <v>55.010553961970757</v>
      </c>
      <c r="R58">
        <f t="shared" si="4"/>
        <v>44.989446038029243</v>
      </c>
      <c r="S58" s="72">
        <f t="shared" si="25"/>
        <v>44.6</v>
      </c>
      <c r="T58" s="72">
        <f t="shared" si="26"/>
        <v>35</v>
      </c>
      <c r="U58" s="72">
        <f t="shared" si="27"/>
        <v>10</v>
      </c>
      <c r="Y58" s="6"/>
      <c r="Z58" s="6"/>
      <c r="AA58" s="6"/>
      <c r="AJ58" s="73"/>
      <c r="AK58" s="66"/>
      <c r="AL58" s="6"/>
      <c r="AM58" s="6"/>
      <c r="AO58" s="73"/>
      <c r="AP58" s="66"/>
      <c r="AQ58" s="6"/>
      <c r="AR58" s="6"/>
      <c r="AT58" s="73"/>
      <c r="AU58" s="66"/>
      <c r="AV58" s="6"/>
      <c r="AW58" s="6"/>
    </row>
    <row r="59" spans="1:49" ht="15.75" thickBot="1" x14ac:dyDescent="0.3">
      <c r="A59" s="1">
        <v>42089</v>
      </c>
      <c r="B59" s="10" t="s">
        <v>16</v>
      </c>
      <c r="C59">
        <v>1086</v>
      </c>
      <c r="D59">
        <f t="shared" si="24"/>
        <v>0.4</v>
      </c>
      <c r="E59">
        <f t="shared" si="10"/>
        <v>434.40000000000003</v>
      </c>
      <c r="F59">
        <f t="shared" si="19"/>
        <v>60.642342393463089</v>
      </c>
      <c r="G59">
        <f t="shared" si="20"/>
        <v>39.357657606536911</v>
      </c>
      <c r="H59">
        <v>49</v>
      </c>
      <c r="I59">
        <v>29</v>
      </c>
      <c r="J59">
        <v>12.5</v>
      </c>
      <c r="K59">
        <f t="shared" si="21"/>
        <v>9.5</v>
      </c>
      <c r="O59" s="5">
        <f t="shared" si="11"/>
        <v>42089</v>
      </c>
      <c r="P59">
        <f t="shared" si="12"/>
        <v>434.40000000000003</v>
      </c>
      <c r="Q59">
        <f t="shared" si="13"/>
        <v>59.245454589122261</v>
      </c>
      <c r="R59">
        <f t="shared" si="4"/>
        <v>40.754545410877739</v>
      </c>
      <c r="S59" s="72">
        <f t="shared" si="25"/>
        <v>47.699326774199633</v>
      </c>
      <c r="T59" s="72">
        <f t="shared" si="26"/>
        <v>30.666713210887949</v>
      </c>
      <c r="U59" s="72">
        <f t="shared" si="27"/>
        <v>12.246159888628814</v>
      </c>
      <c r="Y59" s="6"/>
      <c r="Z59" s="6"/>
      <c r="AA59" s="6"/>
      <c r="AJ59" s="73"/>
      <c r="AK59" s="66"/>
      <c r="AL59" s="6"/>
      <c r="AM59" s="6"/>
      <c r="AO59" s="73"/>
      <c r="AP59" s="66"/>
      <c r="AQ59" s="6"/>
      <c r="AR59" s="6"/>
      <c r="AT59" s="73"/>
      <c r="AU59" s="66"/>
      <c r="AV59" s="6"/>
      <c r="AW59" s="6"/>
    </row>
    <row r="60" spans="1:49" x14ac:dyDescent="0.25">
      <c r="A60" s="1">
        <v>42089</v>
      </c>
      <c r="B60" s="10" t="s">
        <v>14</v>
      </c>
      <c r="C60">
        <v>1549</v>
      </c>
      <c r="D60">
        <f t="shared" si="24"/>
        <v>0.4</v>
      </c>
      <c r="E60">
        <f t="shared" si="10"/>
        <v>619.6</v>
      </c>
      <c r="F60">
        <f t="shared" si="19"/>
        <v>56.053826820994267</v>
      </c>
      <c r="G60">
        <f t="shared" si="20"/>
        <v>43.946173179005733</v>
      </c>
      <c r="H60">
        <v>45.5</v>
      </c>
      <c r="I60">
        <v>33.799999999999997</v>
      </c>
      <c r="J60">
        <v>10.5</v>
      </c>
      <c r="K60">
        <f t="shared" si="21"/>
        <v>10.200000000000003</v>
      </c>
      <c r="O60" s="5">
        <f t="shared" si="11"/>
        <v>42089</v>
      </c>
      <c r="P60">
        <f t="shared" si="12"/>
        <v>619.6</v>
      </c>
      <c r="Q60">
        <f t="shared" si="13"/>
        <v>55.423369921426357</v>
      </c>
      <c r="R60">
        <f t="shared" si="4"/>
        <v>44.576630078573643</v>
      </c>
      <c r="S60" s="72">
        <f t="shared" si="25"/>
        <v>44.896898</v>
      </c>
      <c r="T60" s="72">
        <f t="shared" si="26"/>
        <v>34.567675333333334</v>
      </c>
      <c r="U60" s="72">
        <f t="shared" si="27"/>
        <v>10.893804000000001</v>
      </c>
      <c r="W60">
        <f t="shared" ref="W60" si="32">(Y60+((AA60*0.18)+((100-SUM(Y60:AA60))*0.23)))/((Z60+((AA60*0.31)+((100-SUM(Y60:AA60))*0.19)))+(Y60+((AA60*0.18)+((100-SUM(Y60:AA60))*0.23))))*100</f>
        <v>55.874389079265221</v>
      </c>
      <c r="X60">
        <f t="shared" ref="X60" si="33">100-W60</f>
        <v>44.125610920734779</v>
      </c>
      <c r="Y60" s="75">
        <v>45.6</v>
      </c>
      <c r="Z60" s="75">
        <v>34.200000000000003</v>
      </c>
      <c r="AA60" s="75">
        <v>10.3</v>
      </c>
      <c r="AJ60" s="73"/>
      <c r="AK60" s="66"/>
      <c r="AL60" s="6"/>
      <c r="AM60" s="6"/>
      <c r="AO60" s="73"/>
      <c r="AP60" s="66"/>
      <c r="AQ60" s="6"/>
      <c r="AR60" s="6"/>
      <c r="AT60" s="73"/>
      <c r="AU60" s="66"/>
      <c r="AV60" s="6"/>
      <c r="AW60" s="6"/>
    </row>
    <row r="61" spans="1:49" x14ac:dyDescent="0.25">
      <c r="A61" s="1"/>
      <c r="B61" s="2"/>
    </row>
    <row r="62" spans="1:49" x14ac:dyDescent="0.25">
      <c r="M62">
        <f>((((M37+M43)/2)+M49)/2)/100</f>
        <v>-2.3293963639702417E-2</v>
      </c>
      <c r="V62" t="s">
        <v>183</v>
      </c>
      <c r="W62">
        <f>W60/100</f>
        <v>0.55874389079265219</v>
      </c>
      <c r="X62">
        <f>X60/100</f>
        <v>0.44125610920734781</v>
      </c>
      <c r="Y62">
        <f>Y60/100</f>
        <v>0.45600000000000002</v>
      </c>
      <c r="Z62">
        <f>Z60/100</f>
        <v>0.34200000000000003</v>
      </c>
      <c r="AA62">
        <f>AA60/100</f>
        <v>0.10300000000000001</v>
      </c>
      <c r="AB62">
        <f>1-SUM(Y62:AA62)</f>
        <v>9.8999999999999977E-2</v>
      </c>
    </row>
    <row r="63" spans="1:49" x14ac:dyDescent="0.25">
      <c r="A63" s="5"/>
      <c r="V63" t="s">
        <v>184</v>
      </c>
      <c r="W63">
        <f>(Y62+(AA62*prefs!B2)+(AB62*prefs!C2))/((Y62+(AA62*prefs!B2)+(AB62*prefs!C2))+(Z62+(AA62*prefs!B3)+(AB62*prefs!C3)))</f>
        <v>0.5413593372028781</v>
      </c>
      <c r="X63">
        <f>(Z62+(AA62*prefs!B3)+(AB62*prefs!C3))/((Y62+(AA62*prefs!B2)+(AB62*prefs!C2))+(Z62+(AA62*prefs!B3)+(AB62*prefs!C3)))</f>
        <v>0.4586406627971219</v>
      </c>
    </row>
    <row r="64" spans="1:49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</sheetData>
  <sortState ref="A3:I93">
    <sortCondition ref="A3"/>
  </sortState>
  <mergeCells count="1">
    <mergeCell ref="H1:K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workbookViewId="0">
      <selection activeCell="C10" sqref="C10"/>
    </sheetView>
  </sheetViews>
  <sheetFormatPr defaultRowHeight="15" x14ac:dyDescent="0.25"/>
  <cols>
    <col min="2" max="2" width="15.28515625" customWidth="1"/>
    <col min="3" max="5" width="9.140625" customWidth="1"/>
    <col min="11" max="11" width="9.7109375" bestFit="1" customWidth="1"/>
    <col min="12" max="12" width="10.7109375" bestFit="1" customWidth="1"/>
  </cols>
  <sheetData>
    <row r="1" spans="2:12" x14ac:dyDescent="0.25">
      <c r="B1" s="47"/>
      <c r="C1" s="48"/>
      <c r="D1" s="49"/>
      <c r="E1" s="49"/>
    </row>
    <row r="2" spans="2:12" ht="11.25" customHeight="1" x14ac:dyDescent="0.25">
      <c r="B2" s="15"/>
      <c r="C2" s="16"/>
      <c r="D2" s="77" t="s">
        <v>20</v>
      </c>
      <c r="E2" s="78"/>
      <c r="K2" s="5"/>
      <c r="L2" s="63"/>
    </row>
    <row r="3" spans="2:12" x14ac:dyDescent="0.25">
      <c r="B3" s="15"/>
      <c r="C3" s="17">
        <v>42089</v>
      </c>
      <c r="D3" s="17">
        <v>42082</v>
      </c>
      <c r="E3" s="18">
        <v>2011</v>
      </c>
      <c r="G3" s="65">
        <v>42082</v>
      </c>
      <c r="H3" s="65">
        <v>42075</v>
      </c>
    </row>
    <row r="4" spans="2:12" x14ac:dyDescent="0.25">
      <c r="B4" s="19" t="s">
        <v>26</v>
      </c>
      <c r="C4" s="20">
        <v>0.45600000000000002</v>
      </c>
      <c r="D4" s="21">
        <f>C4-G4</f>
        <v>8.4151000000000087E-3</v>
      </c>
      <c r="E4" s="22">
        <f>C4-0.5114</f>
        <v>-5.5399999999999949E-2</v>
      </c>
      <c r="G4">
        <v>0.44758490000000001</v>
      </c>
      <c r="H4">
        <v>0.43866050000000001</v>
      </c>
    </row>
    <row r="5" spans="2:12" x14ac:dyDescent="0.25">
      <c r="B5" s="23" t="s">
        <v>21</v>
      </c>
      <c r="C5" s="24">
        <v>0.34200000000000003</v>
      </c>
      <c r="D5" s="21">
        <f>C5-G5</f>
        <v>-1.0509099999999938E-2</v>
      </c>
      <c r="E5" s="22">
        <f>C5-0.2555</f>
        <v>8.6500000000000021E-2</v>
      </c>
      <c r="G5">
        <v>0.35250909999999996</v>
      </c>
      <c r="H5">
        <v>0.35541719999999999</v>
      </c>
    </row>
    <row r="6" spans="2:12" x14ac:dyDescent="0.25">
      <c r="B6" s="25" t="s">
        <v>22</v>
      </c>
      <c r="C6" s="26">
        <v>0.10299999999999999</v>
      </c>
      <c r="D6" s="21">
        <f>C6-G6</f>
        <v>1.7545000000000061E-3</v>
      </c>
      <c r="E6" s="22">
        <f>C6-0.1028</f>
        <v>1.9999999999999185E-4</v>
      </c>
      <c r="G6">
        <v>0.10124549999999999</v>
      </c>
      <c r="H6">
        <v>0.1001441</v>
      </c>
    </row>
    <row r="7" spans="2:12" x14ac:dyDescent="0.25">
      <c r="B7" s="27" t="s">
        <v>23</v>
      </c>
      <c r="C7" s="28">
        <f>1-SUM(C4:C6)</f>
        <v>9.8999999999999977E-2</v>
      </c>
      <c r="D7" s="21">
        <f>C7-G7</f>
        <v>3.3949999999993707E-4</v>
      </c>
      <c r="E7" s="22">
        <f>C7-0.1303</f>
        <v>-3.1300000000000022E-2</v>
      </c>
      <c r="G7">
        <v>9.866050000000004E-2</v>
      </c>
      <c r="H7">
        <v>0.10577820000000004</v>
      </c>
    </row>
    <row r="8" spans="2:12" x14ac:dyDescent="0.25">
      <c r="B8" s="79" t="s">
        <v>29</v>
      </c>
      <c r="C8" s="80"/>
      <c r="D8" s="80"/>
      <c r="E8" s="81"/>
    </row>
    <row r="9" spans="2:12" x14ac:dyDescent="0.25">
      <c r="B9" s="51"/>
      <c r="C9" s="17" t="s">
        <v>173</v>
      </c>
      <c r="D9" s="17">
        <v>42082</v>
      </c>
      <c r="E9" s="18">
        <v>2011</v>
      </c>
    </row>
    <row r="10" spans="2:12" x14ac:dyDescent="0.25">
      <c r="B10" s="29" t="s">
        <v>27</v>
      </c>
      <c r="C10" s="30">
        <f>database!W62</f>
        <v>0.55874389079265219</v>
      </c>
      <c r="D10" s="31">
        <f>C10-G10</f>
        <v>1.1267584458175439E-2</v>
      </c>
      <c r="E10" s="32">
        <f>C10-0.642</f>
        <v>-8.3256109207347828E-2</v>
      </c>
      <c r="G10">
        <v>0.54747630633447675</v>
      </c>
      <c r="H10">
        <v>0.54194331868593892</v>
      </c>
    </row>
    <row r="11" spans="2:12" x14ac:dyDescent="0.25">
      <c r="B11" s="33" t="s">
        <v>24</v>
      </c>
      <c r="C11" s="34">
        <f>1-C10</f>
        <v>0.44125610920734781</v>
      </c>
      <c r="D11" s="35">
        <f>C11-G11</f>
        <v>-1.1267584458175439E-2</v>
      </c>
      <c r="E11" s="36">
        <f>0-E10</f>
        <v>8.3256109207347828E-2</v>
      </c>
      <c r="G11">
        <v>0.45252369366552325</v>
      </c>
      <c r="H11">
        <v>0.45805668131406108</v>
      </c>
    </row>
    <row r="12" spans="2:12" x14ac:dyDescent="0.25">
      <c r="B12" s="15"/>
      <c r="C12" s="16" t="s">
        <v>25</v>
      </c>
      <c r="D12" s="17">
        <v>42082</v>
      </c>
      <c r="E12" s="18">
        <v>2011</v>
      </c>
    </row>
    <row r="13" spans="2:12" x14ac:dyDescent="0.25">
      <c r="B13" s="29" t="s">
        <v>27</v>
      </c>
      <c r="C13" s="37">
        <f>ROUND(seats!BD97,0)</f>
        <v>56</v>
      </c>
      <c r="D13" s="38">
        <f>C13-G13</f>
        <v>2</v>
      </c>
      <c r="E13" s="39">
        <f>C13-69</f>
        <v>-13</v>
      </c>
      <c r="G13">
        <v>54</v>
      </c>
      <c r="H13">
        <v>54</v>
      </c>
    </row>
    <row r="14" spans="2:12" x14ac:dyDescent="0.25">
      <c r="B14" s="33" t="s">
        <v>24</v>
      </c>
      <c r="C14" s="40">
        <f>93-C13-C15</f>
        <v>34</v>
      </c>
      <c r="D14" s="41">
        <f>C14-G14</f>
        <v>-2</v>
      </c>
      <c r="E14" s="42">
        <f>C14-20</f>
        <v>14</v>
      </c>
      <c r="G14">
        <v>36</v>
      </c>
      <c r="H14">
        <v>36</v>
      </c>
    </row>
    <row r="15" spans="2:12" x14ac:dyDescent="0.25">
      <c r="B15" s="43" t="s">
        <v>23</v>
      </c>
      <c r="C15" s="44">
        <v>3</v>
      </c>
      <c r="D15" s="45"/>
      <c r="E15" s="46">
        <f>C15-4</f>
        <v>-1</v>
      </c>
    </row>
    <row r="16" spans="2:12" x14ac:dyDescent="0.25">
      <c r="B16" s="79" t="s">
        <v>28</v>
      </c>
      <c r="C16" s="80"/>
      <c r="D16" s="80"/>
      <c r="E16" s="81"/>
    </row>
    <row r="17" spans="2:12" x14ac:dyDescent="0.25">
      <c r="B17" s="51"/>
      <c r="C17" s="17" t="s">
        <v>173</v>
      </c>
      <c r="D17" s="17">
        <v>42082</v>
      </c>
      <c r="E17" s="18">
        <v>2011</v>
      </c>
    </row>
    <row r="18" spans="2:12" x14ac:dyDescent="0.25">
      <c r="B18" s="29" t="s">
        <v>27</v>
      </c>
      <c r="C18" s="30">
        <f>database!W63</f>
        <v>0.5413593372028781</v>
      </c>
      <c r="D18" s="31">
        <f>C18-G18</f>
        <v>6.891649004071243E-3</v>
      </c>
      <c r="E18" s="32">
        <f>C18-0.642</f>
        <v>-0.10064066279712192</v>
      </c>
      <c r="G18">
        <v>0.53446768819880686</v>
      </c>
      <c r="H18">
        <f>0.518649355046237+0.01</f>
        <v>0.528649355046237</v>
      </c>
    </row>
    <row r="19" spans="2:12" x14ac:dyDescent="0.25">
      <c r="B19" s="33" t="s">
        <v>24</v>
      </c>
      <c r="C19" s="34">
        <f>1-C18</f>
        <v>0.4586406627971219</v>
      </c>
      <c r="D19" s="35">
        <f>C19-G19</f>
        <v>-6.891649004071243E-3</v>
      </c>
      <c r="E19" s="36">
        <f>0-E18</f>
        <v>0.10064066279712192</v>
      </c>
      <c r="G19">
        <v>0.46553231180119314</v>
      </c>
      <c r="H19">
        <f>0.481350644953763-0.01</f>
        <v>0.471350644953763</v>
      </c>
    </row>
    <row r="20" spans="2:12" x14ac:dyDescent="0.25">
      <c r="B20" s="15"/>
      <c r="C20" s="16" t="s">
        <v>25</v>
      </c>
      <c r="D20" s="17">
        <v>42082</v>
      </c>
      <c r="E20" s="18">
        <v>2011</v>
      </c>
    </row>
    <row r="21" spans="2:12" x14ac:dyDescent="0.25">
      <c r="B21" s="29" t="s">
        <v>27</v>
      </c>
      <c r="C21" s="37">
        <f>ROUND(seats!AV97,0)</f>
        <v>53</v>
      </c>
      <c r="D21" s="38">
        <f>C21-G21</f>
        <v>2</v>
      </c>
      <c r="E21" s="39">
        <f>C21-69</f>
        <v>-16</v>
      </c>
      <c r="G21">
        <v>51</v>
      </c>
      <c r="H21">
        <v>51</v>
      </c>
      <c r="K21" s="5"/>
      <c r="L21" s="63"/>
    </row>
    <row r="22" spans="2:12" x14ac:dyDescent="0.25">
      <c r="B22" s="33" t="s">
        <v>24</v>
      </c>
      <c r="C22" s="40">
        <f>93-C21-C23</f>
        <v>37</v>
      </c>
      <c r="D22" s="41">
        <f>C22-G22</f>
        <v>-2</v>
      </c>
      <c r="E22" s="42">
        <f>C22-20</f>
        <v>17</v>
      </c>
      <c r="G22">
        <v>39</v>
      </c>
      <c r="H22">
        <v>39</v>
      </c>
    </row>
    <row r="23" spans="2:12" x14ac:dyDescent="0.25">
      <c r="B23" s="43" t="s">
        <v>23</v>
      </c>
      <c r="C23" s="44">
        <v>3</v>
      </c>
      <c r="D23" s="45"/>
      <c r="E23" s="46">
        <f>C23-4</f>
        <v>-1</v>
      </c>
    </row>
    <row r="24" spans="2:12" x14ac:dyDescent="0.25">
      <c r="B24" s="43"/>
      <c r="C24" s="44"/>
      <c r="D24" s="45"/>
      <c r="E24" s="46"/>
    </row>
  </sheetData>
  <mergeCells count="3">
    <mergeCell ref="D2:E2"/>
    <mergeCell ref="B8:E8"/>
    <mergeCell ref="B16:E1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4"/>
  <sheetViews>
    <sheetView workbookViewId="0">
      <pane xSplit="4" ySplit="2" topLeftCell="M36" activePane="bottomRight" state="frozen"/>
      <selection pane="topRight" activeCell="E1" sqref="E1"/>
      <selection pane="bottomLeft" activeCell="A3" sqref="A3"/>
      <selection pane="bottomRight" activeCell="U62" sqref="U62"/>
    </sheetView>
  </sheetViews>
  <sheetFormatPr defaultRowHeight="15" x14ac:dyDescent="0.25"/>
  <cols>
    <col min="1" max="1" width="10.7109375" bestFit="1" customWidth="1"/>
    <col min="13" max="13" width="9.5703125" bestFit="1" customWidth="1"/>
    <col min="46" max="46" width="10.7109375" bestFit="1" customWidth="1"/>
  </cols>
  <sheetData>
    <row r="1" spans="1:50" x14ac:dyDescent="0.25">
      <c r="M1" t="s">
        <v>19</v>
      </c>
    </row>
    <row r="2" spans="1:50" ht="15.75" thickBot="1" x14ac:dyDescent="0.3">
      <c r="A2" t="s">
        <v>7</v>
      </c>
      <c r="B2" t="s">
        <v>18</v>
      </c>
      <c r="C2" t="s">
        <v>10</v>
      </c>
      <c r="D2" t="s">
        <v>11</v>
      </c>
      <c r="E2" t="s">
        <v>6</v>
      </c>
      <c r="F2" t="s">
        <v>8</v>
      </c>
      <c r="G2" t="s">
        <v>9</v>
      </c>
      <c r="H2" t="s">
        <v>3</v>
      </c>
      <c r="I2" t="s">
        <v>4</v>
      </c>
      <c r="J2" t="s">
        <v>5</v>
      </c>
      <c r="K2" t="s">
        <v>13</v>
      </c>
      <c r="M2" t="s">
        <v>3</v>
      </c>
      <c r="N2" t="s">
        <v>4</v>
      </c>
      <c r="O2" t="s">
        <v>5</v>
      </c>
      <c r="Q2" t="s">
        <v>0</v>
      </c>
      <c r="R2" t="s">
        <v>0</v>
      </c>
      <c r="S2" t="s">
        <v>0</v>
      </c>
      <c r="U2" t="s">
        <v>16</v>
      </c>
      <c r="V2" t="s">
        <v>16</v>
      </c>
      <c r="W2" t="s">
        <v>16</v>
      </c>
      <c r="Y2" t="s">
        <v>17</v>
      </c>
      <c r="Z2" t="s">
        <v>17</v>
      </c>
      <c r="AA2" t="s">
        <v>17</v>
      </c>
      <c r="AC2" t="s">
        <v>14</v>
      </c>
      <c r="AD2" t="s">
        <v>14</v>
      </c>
      <c r="AE2" t="s">
        <v>14</v>
      </c>
      <c r="AG2" t="s">
        <v>186</v>
      </c>
      <c r="AH2" t="s">
        <v>186</v>
      </c>
      <c r="AI2" t="s">
        <v>186</v>
      </c>
      <c r="AK2" t="s">
        <v>187</v>
      </c>
      <c r="AL2" t="s">
        <v>188</v>
      </c>
      <c r="AN2" t="s">
        <v>189</v>
      </c>
      <c r="AO2" t="s">
        <v>190</v>
      </c>
      <c r="AQ2" t="s">
        <v>191</v>
      </c>
      <c r="AR2" t="s">
        <v>190</v>
      </c>
    </row>
    <row r="3" spans="1:50" ht="15.75" thickBot="1" x14ac:dyDescent="0.3">
      <c r="A3" s="3">
        <f>database!A3</f>
        <v>40817</v>
      </c>
      <c r="B3" s="3" t="str">
        <f>database!B3</f>
        <v>Newspoll</v>
      </c>
      <c r="C3">
        <f>database!C3</f>
        <v>1270</v>
      </c>
      <c r="D3">
        <f>database!D3</f>
        <v>1</v>
      </c>
      <c r="E3">
        <f>database!E3</f>
        <v>1270</v>
      </c>
      <c r="F3">
        <f>database!F3</f>
        <v>66.233005157055786</v>
      </c>
      <c r="G3">
        <f>database!G3</f>
        <v>33.766994842944214</v>
      </c>
      <c r="H3">
        <f>database!H3</f>
        <v>51</v>
      </c>
      <c r="I3">
        <f>database!I3</f>
        <v>22</v>
      </c>
      <c r="J3">
        <f>database!J3</f>
        <v>14</v>
      </c>
      <c r="K3">
        <f>database!K3</f>
        <v>13</v>
      </c>
      <c r="M3" s="11">
        <f t="shared" ref="M3:O10" si="0">INDEX(AV$3:AV$31,MATCH($A3,$AT$3:$AT$31,0))</f>
        <v>50.030380000000001</v>
      </c>
      <c r="N3" s="11">
        <f t="shared" si="0"/>
        <v>23.429099999999998</v>
      </c>
      <c r="O3" s="11">
        <f t="shared" si="0"/>
        <v>13.57198</v>
      </c>
      <c r="Q3" t="str">
        <f t="shared" ref="Q3:Q10" si="1">IF($B3=Q$2,$M3-$H3,"")</f>
        <v/>
      </c>
      <c r="R3" t="str">
        <f t="shared" ref="R3:R10" si="2">IF($B3=R$2,$N3-$I3,"")</f>
        <v/>
      </c>
      <c r="S3" t="str">
        <f t="shared" ref="S3:S10" si="3">IF($B3=S$2,$O3-$J3,"")</f>
        <v/>
      </c>
      <c r="U3" t="str">
        <f t="shared" ref="U3:U10" si="4">IF($B3=U$2,$M3-$H3,"")</f>
        <v/>
      </c>
      <c r="V3" t="str">
        <f t="shared" ref="V3:V10" si="5">IF($B3=V$2,$N3-$I3,"")</f>
        <v/>
      </c>
      <c r="W3" t="str">
        <f t="shared" ref="W3:W10" si="6">IF($B3=W$2,$O3-$J3,"")</f>
        <v/>
      </c>
      <c r="Y3" t="str">
        <f t="shared" ref="Y3:Y10" si="7">IF($B3=Y$2,$M3-$H3,"")</f>
        <v/>
      </c>
      <c r="Z3" t="str">
        <f t="shared" ref="Z3:Z10" si="8">IF($B3=Z$2,$N3-$I3,"")</f>
        <v/>
      </c>
      <c r="AA3" t="str">
        <f t="shared" ref="AA3:AA10" si="9">IF($B3=AA$2,$O3-$J3,"")</f>
        <v/>
      </c>
      <c r="AC3" t="str">
        <f t="shared" ref="AC3:AC10" si="10">IF($B3=AC$2,$M3-$H3,"")</f>
        <v/>
      </c>
      <c r="AD3" t="str">
        <f t="shared" ref="AD3:AD10" si="11">IF($B3=AD$2,$N3-$I3,"")</f>
        <v/>
      </c>
      <c r="AE3" t="str">
        <f t="shared" ref="AE3:AE10" si="12">IF($B3=AE$2,$O3-$J3,"")</f>
        <v/>
      </c>
      <c r="AG3" t="str">
        <f t="shared" ref="AG3:AG56" si="13">IF($B3=AG$2,$M3-$H3,"")</f>
        <v/>
      </c>
      <c r="AH3" t="str">
        <f t="shared" ref="AH3:AH56" si="14">IF($B3=AH$2,$N3-$I3,"")</f>
        <v/>
      </c>
      <c r="AI3" t="str">
        <f t="shared" ref="AI3:AI56" si="15">IF($B3=AI$2,$O3-$J3,"")</f>
        <v/>
      </c>
      <c r="AT3" s="5">
        <v>40817</v>
      </c>
      <c r="AU3" s="3" t="s">
        <v>1</v>
      </c>
      <c r="AV3" s="11">
        <v>50.030380000000001</v>
      </c>
      <c r="AW3" s="11">
        <v>23.429099999999998</v>
      </c>
      <c r="AX3" s="11">
        <v>13.57198</v>
      </c>
    </row>
    <row r="4" spans="1:50" ht="15.75" thickBot="1" x14ac:dyDescent="0.3">
      <c r="A4" s="3">
        <f>database!A4</f>
        <v>40873</v>
      </c>
      <c r="B4" s="3" t="str">
        <f>database!B4</f>
        <v>Newspoll</v>
      </c>
      <c r="C4">
        <f>database!C4</f>
        <v>1270</v>
      </c>
      <c r="D4">
        <f>database!D4</f>
        <v>1</v>
      </c>
      <c r="E4">
        <f>database!E4</f>
        <v>1270</v>
      </c>
      <c r="F4">
        <f>database!F4</f>
        <v>64</v>
      </c>
      <c r="G4">
        <f>database!G4</f>
        <v>36</v>
      </c>
      <c r="H4">
        <f>database!H4</f>
        <v>49</v>
      </c>
      <c r="I4">
        <f>database!I4</f>
        <v>24</v>
      </c>
      <c r="J4">
        <f>database!J4</f>
        <v>13</v>
      </c>
      <c r="K4">
        <f>database!K4</f>
        <v>14</v>
      </c>
      <c r="M4" s="11">
        <f t="shared" si="0"/>
        <v>49.409039999999997</v>
      </c>
      <c r="N4" s="11">
        <f t="shared" si="0"/>
        <v>23.981649999999998</v>
      </c>
      <c r="O4" s="11">
        <f t="shared" si="0"/>
        <v>13.219760000000001</v>
      </c>
      <c r="Q4" t="str">
        <f t="shared" si="1"/>
        <v/>
      </c>
      <c r="R4" t="str">
        <f t="shared" si="2"/>
        <v/>
      </c>
      <c r="S4" t="str">
        <f t="shared" si="3"/>
        <v/>
      </c>
      <c r="U4" t="str">
        <f t="shared" si="4"/>
        <v/>
      </c>
      <c r="V4" t="str">
        <f t="shared" si="5"/>
        <v/>
      </c>
      <c r="W4" t="str">
        <f t="shared" si="6"/>
        <v/>
      </c>
      <c r="Y4" t="str">
        <f t="shared" si="7"/>
        <v/>
      </c>
      <c r="Z4" t="str">
        <f t="shared" si="8"/>
        <v/>
      </c>
      <c r="AA4" t="str">
        <f t="shared" si="9"/>
        <v/>
      </c>
      <c r="AC4" t="str">
        <f t="shared" si="10"/>
        <v/>
      </c>
      <c r="AD4" t="str">
        <f t="shared" si="11"/>
        <v/>
      </c>
      <c r="AE4" t="str">
        <f t="shared" si="12"/>
        <v/>
      </c>
      <c r="AG4" t="str">
        <f t="shared" si="13"/>
        <v/>
      </c>
      <c r="AH4" t="str">
        <f t="shared" si="14"/>
        <v/>
      </c>
      <c r="AI4" t="str">
        <f t="shared" si="15"/>
        <v/>
      </c>
      <c r="AT4" s="5">
        <v>40873</v>
      </c>
      <c r="AU4" s="3" t="s">
        <v>1</v>
      </c>
      <c r="AV4" s="6">
        <v>49.409039999999997</v>
      </c>
      <c r="AW4" s="6">
        <v>23.981649999999998</v>
      </c>
      <c r="AX4" s="6">
        <v>13.219760000000001</v>
      </c>
    </row>
    <row r="5" spans="1:50" ht="15.75" thickBot="1" x14ac:dyDescent="0.3">
      <c r="A5" s="3">
        <f>database!A5</f>
        <v>40936</v>
      </c>
      <c r="B5" s="3" t="str">
        <f>database!B5</f>
        <v>Newspoll</v>
      </c>
      <c r="C5">
        <f>database!C5</f>
        <v>1270</v>
      </c>
      <c r="D5">
        <f>database!D5</f>
        <v>1</v>
      </c>
      <c r="E5">
        <f>database!E5</f>
        <v>1270</v>
      </c>
      <c r="F5">
        <f>database!F5</f>
        <v>63.299545613421884</v>
      </c>
      <c r="G5">
        <f>database!G5</f>
        <v>36.700454386578116</v>
      </c>
      <c r="H5">
        <f>database!H5</f>
        <v>49</v>
      </c>
      <c r="I5">
        <f>database!I5</f>
        <v>25</v>
      </c>
      <c r="J5">
        <f>database!J5</f>
        <v>13</v>
      </c>
      <c r="K5">
        <f>database!K5</f>
        <v>13</v>
      </c>
      <c r="M5" s="11">
        <f t="shared" si="0"/>
        <v>48.741050000000001</v>
      </c>
      <c r="N5" s="11">
        <f t="shared" si="0"/>
        <v>24.603259999999999</v>
      </c>
      <c r="O5" s="11">
        <f t="shared" si="0"/>
        <v>12.83343</v>
      </c>
      <c r="Q5" t="str">
        <f t="shared" si="1"/>
        <v/>
      </c>
      <c r="R5" t="str">
        <f t="shared" si="2"/>
        <v/>
      </c>
      <c r="S5" t="str">
        <f t="shared" si="3"/>
        <v/>
      </c>
      <c r="U5" t="str">
        <f t="shared" si="4"/>
        <v/>
      </c>
      <c r="V5" t="str">
        <f t="shared" si="5"/>
        <v/>
      </c>
      <c r="W5" t="str">
        <f t="shared" si="6"/>
        <v/>
      </c>
      <c r="Y5" t="str">
        <f t="shared" si="7"/>
        <v/>
      </c>
      <c r="Z5" t="str">
        <f t="shared" si="8"/>
        <v/>
      </c>
      <c r="AA5" t="str">
        <f t="shared" si="9"/>
        <v/>
      </c>
      <c r="AC5" t="str">
        <f t="shared" si="10"/>
        <v/>
      </c>
      <c r="AD5" t="str">
        <f t="shared" si="11"/>
        <v/>
      </c>
      <c r="AE5" t="str">
        <f t="shared" si="12"/>
        <v/>
      </c>
      <c r="AG5" t="str">
        <f t="shared" si="13"/>
        <v/>
      </c>
      <c r="AH5" t="str">
        <f t="shared" si="14"/>
        <v/>
      </c>
      <c r="AI5" t="str">
        <f t="shared" si="15"/>
        <v/>
      </c>
      <c r="AT5" s="5">
        <v>40936</v>
      </c>
      <c r="AU5" s="4" t="s">
        <v>1</v>
      </c>
      <c r="AV5" s="6">
        <v>48.741050000000001</v>
      </c>
      <c r="AW5" s="6">
        <v>24.603259999999999</v>
      </c>
      <c r="AX5" s="6">
        <v>12.83343</v>
      </c>
    </row>
    <row r="6" spans="1:50" ht="15.75" thickBot="1" x14ac:dyDescent="0.3">
      <c r="A6" s="3">
        <f>database!A6</f>
        <v>40999</v>
      </c>
      <c r="B6" s="3" t="str">
        <f>database!B6</f>
        <v>Newspoll</v>
      </c>
      <c r="C6">
        <f>database!C6</f>
        <v>1270</v>
      </c>
      <c r="D6">
        <f>database!D6</f>
        <v>1</v>
      </c>
      <c r="E6">
        <f>database!E6</f>
        <v>1270</v>
      </c>
      <c r="F6">
        <f>database!F6</f>
        <v>63.163532492263755</v>
      </c>
      <c r="G6">
        <f>database!G6</f>
        <v>36.836467507736245</v>
      </c>
      <c r="H6">
        <f>database!H6</f>
        <v>47</v>
      </c>
      <c r="I6">
        <f>database!I6</f>
        <v>24</v>
      </c>
      <c r="J6">
        <f>database!J6</f>
        <v>12</v>
      </c>
      <c r="K6">
        <f>database!K6</f>
        <v>17</v>
      </c>
      <c r="M6" s="11">
        <f t="shared" si="0"/>
        <v>48.073059999999998</v>
      </c>
      <c r="N6" s="11">
        <f t="shared" si="0"/>
        <v>25.224879999999999</v>
      </c>
      <c r="O6" s="11">
        <f t="shared" si="0"/>
        <v>12.447089999999999</v>
      </c>
      <c r="Q6" t="str">
        <f t="shared" si="1"/>
        <v/>
      </c>
      <c r="R6" t="str">
        <f t="shared" si="2"/>
        <v/>
      </c>
      <c r="S6" t="str">
        <f t="shared" si="3"/>
        <v/>
      </c>
      <c r="U6" t="str">
        <f t="shared" si="4"/>
        <v/>
      </c>
      <c r="V6" t="str">
        <f t="shared" si="5"/>
        <v/>
      </c>
      <c r="W6" t="str">
        <f t="shared" si="6"/>
        <v/>
      </c>
      <c r="Y6" t="str">
        <f t="shared" si="7"/>
        <v/>
      </c>
      <c r="Z6" t="str">
        <f t="shared" si="8"/>
        <v/>
      </c>
      <c r="AA6" t="str">
        <f t="shared" si="9"/>
        <v/>
      </c>
      <c r="AC6" t="str">
        <f t="shared" si="10"/>
        <v/>
      </c>
      <c r="AD6" t="str">
        <f t="shared" si="11"/>
        <v/>
      </c>
      <c r="AE6" t="str">
        <f t="shared" si="12"/>
        <v/>
      </c>
      <c r="AG6" t="str">
        <f t="shared" si="13"/>
        <v/>
      </c>
      <c r="AH6" t="str">
        <f t="shared" si="14"/>
        <v/>
      </c>
      <c r="AI6" t="str">
        <f t="shared" si="15"/>
        <v/>
      </c>
      <c r="AT6" s="5">
        <v>40999</v>
      </c>
      <c r="AU6" s="3" t="s">
        <v>1</v>
      </c>
      <c r="AV6" s="6">
        <v>48.073059999999998</v>
      </c>
      <c r="AW6" s="6">
        <v>25.224879999999999</v>
      </c>
      <c r="AX6" s="6">
        <v>12.447089999999999</v>
      </c>
    </row>
    <row r="7" spans="1:50" ht="15.75" thickBot="1" x14ac:dyDescent="0.3">
      <c r="A7" s="3">
        <f>database!A7</f>
        <v>41125</v>
      </c>
      <c r="B7" s="3" t="str">
        <f>database!B7</f>
        <v>Newspoll</v>
      </c>
      <c r="C7">
        <f>database!C7</f>
        <v>1270</v>
      </c>
      <c r="D7">
        <f>database!D7</f>
        <v>1</v>
      </c>
      <c r="E7">
        <f>database!E7</f>
        <v>1270</v>
      </c>
      <c r="F7">
        <f>database!F7</f>
        <v>61.077425373134332</v>
      </c>
      <c r="G7">
        <f>database!G7</f>
        <v>38.922574626865668</v>
      </c>
      <c r="H7">
        <f>database!H7</f>
        <v>47</v>
      </c>
      <c r="I7">
        <f>database!I7</f>
        <v>27</v>
      </c>
      <c r="J7">
        <f>database!J7</f>
        <v>12</v>
      </c>
      <c r="K7">
        <f>database!K7</f>
        <v>14</v>
      </c>
      <c r="M7" s="11">
        <f t="shared" si="0"/>
        <v>46.915559999999999</v>
      </c>
      <c r="N7" s="11">
        <f t="shared" si="0"/>
        <v>26.461390000000002</v>
      </c>
      <c r="O7" s="11">
        <f t="shared" si="0"/>
        <v>11.70072</v>
      </c>
      <c r="Q7" t="str">
        <f t="shared" si="1"/>
        <v/>
      </c>
      <c r="R7" t="str">
        <f t="shared" si="2"/>
        <v/>
      </c>
      <c r="S7" t="str">
        <f t="shared" si="3"/>
        <v/>
      </c>
      <c r="U7" t="str">
        <f t="shared" si="4"/>
        <v/>
      </c>
      <c r="V7" t="str">
        <f t="shared" si="5"/>
        <v/>
      </c>
      <c r="W7" t="str">
        <f t="shared" si="6"/>
        <v/>
      </c>
      <c r="Y7" t="str">
        <f t="shared" si="7"/>
        <v/>
      </c>
      <c r="Z7" t="str">
        <f t="shared" si="8"/>
        <v/>
      </c>
      <c r="AA7" t="str">
        <f t="shared" si="9"/>
        <v/>
      </c>
      <c r="AC7" t="str">
        <f t="shared" si="10"/>
        <v/>
      </c>
      <c r="AD7" t="str">
        <f t="shared" si="11"/>
        <v/>
      </c>
      <c r="AE7" t="str">
        <f t="shared" si="12"/>
        <v/>
      </c>
      <c r="AG7" t="str">
        <f t="shared" si="13"/>
        <v/>
      </c>
      <c r="AH7" t="str">
        <f t="shared" si="14"/>
        <v/>
      </c>
      <c r="AI7" t="str">
        <f t="shared" si="15"/>
        <v/>
      </c>
      <c r="AT7" s="5">
        <v>41125</v>
      </c>
      <c r="AU7" s="4" t="s">
        <v>1</v>
      </c>
      <c r="AV7" s="6">
        <v>46.915559999999999</v>
      </c>
      <c r="AW7" s="6">
        <v>26.461390000000002</v>
      </c>
      <c r="AX7" s="6">
        <v>11.70072</v>
      </c>
    </row>
    <row r="8" spans="1:50" ht="15.75" thickBot="1" x14ac:dyDescent="0.3">
      <c r="A8" s="3">
        <f>database!A8</f>
        <v>41167</v>
      </c>
      <c r="B8" s="3" t="str">
        <f>database!B8</f>
        <v>Galaxy</v>
      </c>
      <c r="C8">
        <f>database!C8</f>
        <v>814</v>
      </c>
      <c r="D8">
        <f>database!D8</f>
        <v>1.1000000000000001</v>
      </c>
      <c r="E8">
        <f>database!E8</f>
        <v>895.40000000000009</v>
      </c>
      <c r="F8">
        <f>database!F8</f>
        <v>58.527440063629129</v>
      </c>
      <c r="G8">
        <f>database!G8</f>
        <v>41.472559936370871</v>
      </c>
      <c r="H8">
        <f>database!H8</f>
        <v>47</v>
      </c>
      <c r="I8">
        <f>database!I8</f>
        <v>31</v>
      </c>
      <c r="J8">
        <f>database!J8</f>
        <v>11</v>
      </c>
      <c r="K8">
        <f>database!K8</f>
        <v>11</v>
      </c>
      <c r="M8" s="11">
        <f t="shared" si="0"/>
        <v>46.529730000000001</v>
      </c>
      <c r="N8" s="11">
        <f t="shared" si="0"/>
        <v>26.873560000000001</v>
      </c>
      <c r="O8" s="11">
        <f t="shared" si="0"/>
        <v>11.451930000000001</v>
      </c>
      <c r="Q8" t="str">
        <f t="shared" si="1"/>
        <v/>
      </c>
      <c r="R8" t="str">
        <f t="shared" si="2"/>
        <v/>
      </c>
      <c r="S8" t="str">
        <f t="shared" si="3"/>
        <v/>
      </c>
      <c r="U8" t="str">
        <f t="shared" si="4"/>
        <v/>
      </c>
      <c r="V8" t="str">
        <f t="shared" si="5"/>
        <v/>
      </c>
      <c r="W8" t="str">
        <f t="shared" si="6"/>
        <v/>
      </c>
      <c r="Y8" t="str">
        <f t="shared" si="7"/>
        <v/>
      </c>
      <c r="Z8" t="str">
        <f t="shared" si="8"/>
        <v/>
      </c>
      <c r="AA8" t="str">
        <f t="shared" si="9"/>
        <v/>
      </c>
      <c r="AC8" t="str">
        <f t="shared" si="10"/>
        <v/>
      </c>
      <c r="AD8" t="str">
        <f t="shared" si="11"/>
        <v/>
      </c>
      <c r="AE8" t="str">
        <f t="shared" si="12"/>
        <v/>
      </c>
      <c r="AG8" t="str">
        <f t="shared" si="13"/>
        <v/>
      </c>
      <c r="AH8" t="str">
        <f t="shared" si="14"/>
        <v/>
      </c>
      <c r="AI8" t="str">
        <f t="shared" si="15"/>
        <v/>
      </c>
      <c r="AT8" s="5">
        <v>41167</v>
      </c>
      <c r="AU8" t="s">
        <v>2</v>
      </c>
      <c r="AV8" s="6">
        <v>46.529730000000001</v>
      </c>
      <c r="AW8" s="6">
        <v>26.873560000000001</v>
      </c>
      <c r="AX8" s="6">
        <v>11.451930000000001</v>
      </c>
    </row>
    <row r="9" spans="1:50" ht="15.75" thickBot="1" x14ac:dyDescent="0.3">
      <c r="A9" s="3">
        <f>database!A9</f>
        <v>41182</v>
      </c>
      <c r="B9" s="3" t="str">
        <f>database!B9</f>
        <v>Newspoll</v>
      </c>
      <c r="C9">
        <f>database!C9</f>
        <v>1270</v>
      </c>
      <c r="D9">
        <f>database!D9</f>
        <v>1</v>
      </c>
      <c r="E9">
        <f>database!E9</f>
        <v>1270</v>
      </c>
      <c r="F9">
        <f>database!F9</f>
        <v>59.522970273763363</v>
      </c>
      <c r="G9">
        <f>database!G9</f>
        <v>40.477029726236637</v>
      </c>
      <c r="H9">
        <f>database!H9</f>
        <v>45</v>
      </c>
      <c r="I9">
        <f>database!I9</f>
        <v>28</v>
      </c>
      <c r="J9">
        <f>database!J9</f>
        <v>11</v>
      </c>
      <c r="K9">
        <f>database!K9</f>
        <v>16</v>
      </c>
      <c r="M9" s="11">
        <f t="shared" si="0"/>
        <v>46.519530000000003</v>
      </c>
      <c r="N9" s="11">
        <f t="shared" si="0"/>
        <v>27.020759999999999</v>
      </c>
      <c r="O9" s="11">
        <f t="shared" si="0"/>
        <v>11.396319999999999</v>
      </c>
      <c r="Q9" t="str">
        <f t="shared" si="1"/>
        <v/>
      </c>
      <c r="R9" t="str">
        <f t="shared" si="2"/>
        <v/>
      </c>
      <c r="S9" t="str">
        <f t="shared" si="3"/>
        <v/>
      </c>
      <c r="U9" t="str">
        <f t="shared" si="4"/>
        <v/>
      </c>
      <c r="V9" t="str">
        <f t="shared" si="5"/>
        <v/>
      </c>
      <c r="W9" t="str">
        <f t="shared" si="6"/>
        <v/>
      </c>
      <c r="Y9" t="str">
        <f t="shared" si="7"/>
        <v/>
      </c>
      <c r="Z9" t="str">
        <f t="shared" si="8"/>
        <v/>
      </c>
      <c r="AA9" t="str">
        <f t="shared" si="9"/>
        <v/>
      </c>
      <c r="AC9" t="str">
        <f t="shared" si="10"/>
        <v/>
      </c>
      <c r="AD9" t="str">
        <f t="shared" si="11"/>
        <v/>
      </c>
      <c r="AE9" t="str">
        <f t="shared" si="12"/>
        <v/>
      </c>
      <c r="AG9" t="str">
        <f t="shared" si="13"/>
        <v/>
      </c>
      <c r="AH9" t="str">
        <f t="shared" si="14"/>
        <v/>
      </c>
      <c r="AI9" t="str">
        <f t="shared" si="15"/>
        <v/>
      </c>
      <c r="AT9" s="5">
        <v>41182</v>
      </c>
      <c r="AU9" s="3" t="s">
        <v>1</v>
      </c>
      <c r="AV9" s="6">
        <v>46.519530000000003</v>
      </c>
      <c r="AW9" s="6">
        <v>27.020759999999999</v>
      </c>
      <c r="AX9" s="6">
        <v>11.396319999999999</v>
      </c>
    </row>
    <row r="10" spans="1:50" x14ac:dyDescent="0.25">
      <c r="A10" s="3">
        <f>database!A10</f>
        <v>41237</v>
      </c>
      <c r="B10" s="3" t="str">
        <f>database!B10</f>
        <v>Newspoll</v>
      </c>
      <c r="C10">
        <f>database!C10</f>
        <v>1270</v>
      </c>
      <c r="D10">
        <f>database!D10</f>
        <v>1</v>
      </c>
      <c r="E10">
        <f>database!E10</f>
        <v>1270</v>
      </c>
      <c r="F10">
        <f>database!F10</f>
        <v>58.851674641148321</v>
      </c>
      <c r="G10">
        <f>database!G10</f>
        <v>41.148325358851679</v>
      </c>
      <c r="H10">
        <f>database!H10</f>
        <v>45</v>
      </c>
      <c r="I10">
        <f>database!I10</f>
        <v>29</v>
      </c>
      <c r="J10">
        <f>database!J10</f>
        <v>11</v>
      </c>
      <c r="K10">
        <f>database!K10</f>
        <v>15</v>
      </c>
      <c r="M10" s="11">
        <f t="shared" si="0"/>
        <v>46.482129999999998</v>
      </c>
      <c r="N10" s="11">
        <f t="shared" si="0"/>
        <v>27.560500000000001</v>
      </c>
      <c r="O10" s="11">
        <f t="shared" si="0"/>
        <v>11.19244</v>
      </c>
      <c r="Q10" t="str">
        <f t="shared" si="1"/>
        <v/>
      </c>
      <c r="R10" t="str">
        <f t="shared" si="2"/>
        <v/>
      </c>
      <c r="S10" t="str">
        <f t="shared" si="3"/>
        <v/>
      </c>
      <c r="U10" t="str">
        <f t="shared" si="4"/>
        <v/>
      </c>
      <c r="V10" t="str">
        <f t="shared" si="5"/>
        <v/>
      </c>
      <c r="W10" t="str">
        <f t="shared" si="6"/>
        <v/>
      </c>
      <c r="Y10" t="str">
        <f t="shared" si="7"/>
        <v/>
      </c>
      <c r="Z10" t="str">
        <f t="shared" si="8"/>
        <v/>
      </c>
      <c r="AA10" t="str">
        <f t="shared" si="9"/>
        <v/>
      </c>
      <c r="AC10" t="str">
        <f t="shared" si="10"/>
        <v/>
      </c>
      <c r="AD10" t="str">
        <f t="shared" si="11"/>
        <v/>
      </c>
      <c r="AE10" t="str">
        <f t="shared" si="12"/>
        <v/>
      </c>
      <c r="AG10" t="str">
        <f t="shared" si="13"/>
        <v/>
      </c>
      <c r="AH10" t="str">
        <f t="shared" si="14"/>
        <v/>
      </c>
      <c r="AI10" t="str">
        <f t="shared" si="15"/>
        <v/>
      </c>
      <c r="AT10" s="5">
        <v>41237</v>
      </c>
      <c r="AU10" s="3" t="s">
        <v>1</v>
      </c>
      <c r="AV10" s="6">
        <v>46.482129999999998</v>
      </c>
      <c r="AW10" s="6">
        <v>27.560500000000001</v>
      </c>
      <c r="AX10" s="6">
        <v>11.19244</v>
      </c>
    </row>
    <row r="11" spans="1:50" ht="15.75" thickBot="1" x14ac:dyDescent="0.3">
      <c r="A11" s="3">
        <f>database!A11</f>
        <v>41242</v>
      </c>
      <c r="B11" s="3" t="str">
        <f>database!B11</f>
        <v>Essential</v>
      </c>
      <c r="C11">
        <f>database!C11</f>
        <v>320</v>
      </c>
      <c r="D11">
        <f>database!D11</f>
        <v>0.4</v>
      </c>
      <c r="E11">
        <f>database!E11</f>
        <v>128</v>
      </c>
      <c r="F11">
        <f>database!F11</f>
        <v>60.741233910341762</v>
      </c>
      <c r="G11">
        <f>database!G11</f>
        <v>39.258766089658238</v>
      </c>
      <c r="H11">
        <f>database!H11</f>
        <v>51</v>
      </c>
      <c r="I11">
        <f>database!I11</f>
        <v>31</v>
      </c>
      <c r="J11">
        <f>database!J11</f>
        <v>8</v>
      </c>
      <c r="K11">
        <f>database!K11</f>
        <v>10</v>
      </c>
      <c r="M11" s="52">
        <f>M10+((M12-M10)*(($A11-$A10)/($A12-$A10)))</f>
        <v>46.487940714285713</v>
      </c>
      <c r="N11" s="52">
        <f>N10+((N12-N10)*(($A11-$A10)/($A12-$A10)))</f>
        <v>27.609245714285716</v>
      </c>
      <c r="O11" s="52">
        <f>O10+((O12-O10)*(($A11-$A10)/($A12-$A10)))</f>
        <v>11.175667142857142</v>
      </c>
      <c r="Q11">
        <f t="shared" ref="Q11:Q53" si="16">IF($B11=Q$2,$M11-$H11,"")</f>
        <v>-4.5120592857142867</v>
      </c>
      <c r="R11">
        <f t="shared" ref="R11:R53" si="17">IF($B11=R$2,$N11-$I11,"")</f>
        <v>-3.3907542857142836</v>
      </c>
      <c r="S11">
        <f t="shared" ref="S11:S53" si="18">IF($B11=S$2,$O11-$J11,"")</f>
        <v>3.1756671428571419</v>
      </c>
      <c r="U11" t="str">
        <f t="shared" ref="U11:U56" si="19">IF($B11=U$2,$M11-$H11,"")</f>
        <v/>
      </c>
      <c r="V11" t="str">
        <f t="shared" ref="V11:V56" si="20">IF($B11=V$2,$N11-$I11,"")</f>
        <v/>
      </c>
      <c r="W11" t="str">
        <f t="shared" ref="W11:W56" si="21">IF($B11=W$2,$O11-$J11,"")</f>
        <v/>
      </c>
      <c r="Y11" t="str">
        <f t="shared" ref="Y11:Y53" si="22">IF($B11=Y$2,$M11-$H11,"")</f>
        <v/>
      </c>
      <c r="Z11" t="str">
        <f t="shared" ref="Z11:Z53" si="23">IF($B11=Z$2,$N11-$I11,"")</f>
        <v/>
      </c>
      <c r="AA11" t="str">
        <f t="shared" ref="AA11:AA53" si="24">IF($B11=AA$2,$O11-$J11,"")</f>
        <v/>
      </c>
      <c r="AC11" t="str">
        <f t="shared" ref="AC11:AC53" si="25">IF($B11=AC$2,$M11-$H11,"")</f>
        <v/>
      </c>
      <c r="AD11" t="str">
        <f t="shared" ref="AD11:AD53" si="26">IF($B11=AD$2,$N11-$I11,"")</f>
        <v/>
      </c>
      <c r="AE11" t="str">
        <f t="shared" ref="AE11:AE53" si="27">IF($B11=AE$2,$O11-$J11,"")</f>
        <v/>
      </c>
      <c r="AG11" t="str">
        <f t="shared" si="13"/>
        <v/>
      </c>
      <c r="AH11" t="str">
        <f t="shared" si="14"/>
        <v/>
      </c>
      <c r="AI11" t="str">
        <f t="shared" si="15"/>
        <v/>
      </c>
      <c r="AT11" s="5">
        <v>41307</v>
      </c>
      <c r="AU11" s="3" t="s">
        <v>1</v>
      </c>
      <c r="AV11" s="6">
        <v>46.563479999999998</v>
      </c>
      <c r="AW11" s="6">
        <v>28.242940000000001</v>
      </c>
      <c r="AX11" s="6">
        <v>10.95762</v>
      </c>
    </row>
    <row r="12" spans="1:50" x14ac:dyDescent="0.25">
      <c r="A12" s="3">
        <f>database!A12</f>
        <v>41307</v>
      </c>
      <c r="B12" s="3" t="str">
        <f>database!B12</f>
        <v>Newspoll</v>
      </c>
      <c r="C12">
        <f>database!C12</f>
        <v>1270</v>
      </c>
      <c r="D12">
        <f>database!D12</f>
        <v>1</v>
      </c>
      <c r="E12">
        <f>database!E12</f>
        <v>1270</v>
      </c>
      <c r="F12">
        <f>database!F12</f>
        <v>60.697920338385615</v>
      </c>
      <c r="G12">
        <f>database!G12</f>
        <v>39.302079661614385</v>
      </c>
      <c r="H12">
        <f>database!H12</f>
        <v>46</v>
      </c>
      <c r="I12">
        <f>database!I12</f>
        <v>27</v>
      </c>
      <c r="J12">
        <f>database!J12</f>
        <v>11</v>
      </c>
      <c r="K12">
        <f>database!K12</f>
        <v>16</v>
      </c>
      <c r="M12" s="11">
        <f>INDEX(AV$3:AV$31,MATCH($A12,$AT$3:$AT$31,0))</f>
        <v>46.563479999999998</v>
      </c>
      <c r="N12" s="11">
        <f>INDEX(AW$3:AW$31,MATCH($A12,$AT$3:$AT$31,0))</f>
        <v>28.242940000000001</v>
      </c>
      <c r="O12" s="11">
        <f>INDEX(AX$3:AX$31,MATCH($A12,$AT$3:$AT$31,0))</f>
        <v>10.95762</v>
      </c>
      <c r="Q12" t="str">
        <f t="shared" si="16"/>
        <v/>
      </c>
      <c r="R12" t="str">
        <f t="shared" si="17"/>
        <v/>
      </c>
      <c r="S12" t="str">
        <f t="shared" si="18"/>
        <v/>
      </c>
      <c r="U12" t="str">
        <f t="shared" si="19"/>
        <v/>
      </c>
      <c r="V12" t="str">
        <f t="shared" si="20"/>
        <v/>
      </c>
      <c r="W12" t="str">
        <f t="shared" si="21"/>
        <v/>
      </c>
      <c r="Y12" t="str">
        <f t="shared" si="22"/>
        <v/>
      </c>
      <c r="Z12" t="str">
        <f t="shared" si="23"/>
        <v/>
      </c>
      <c r="AA12" t="str">
        <f t="shared" si="24"/>
        <v/>
      </c>
      <c r="AC12" t="str">
        <f t="shared" si="25"/>
        <v/>
      </c>
      <c r="AD12" t="str">
        <f t="shared" si="26"/>
        <v/>
      </c>
      <c r="AE12" t="str">
        <f t="shared" si="27"/>
        <v/>
      </c>
      <c r="AG12" t="str">
        <f t="shared" si="13"/>
        <v/>
      </c>
      <c r="AH12" t="str">
        <f t="shared" si="14"/>
        <v/>
      </c>
      <c r="AI12" t="str">
        <f t="shared" si="15"/>
        <v/>
      </c>
      <c r="AT12" s="5">
        <v>41363</v>
      </c>
      <c r="AU12" s="3" t="s">
        <v>1</v>
      </c>
      <c r="AV12" s="6">
        <v>46.628549999999997</v>
      </c>
      <c r="AW12" s="6">
        <v>28.788900000000002</v>
      </c>
      <c r="AX12" s="6">
        <v>10.76976</v>
      </c>
    </row>
    <row r="13" spans="1:50" ht="15.75" thickBot="1" x14ac:dyDescent="0.3">
      <c r="A13" s="3">
        <f>database!A13</f>
        <v>41350</v>
      </c>
      <c r="B13" s="3" t="str">
        <f>database!B13</f>
        <v>Essential</v>
      </c>
      <c r="C13">
        <f>database!C13</f>
        <v>1044</v>
      </c>
      <c r="D13">
        <f>database!D13</f>
        <v>0.4</v>
      </c>
      <c r="E13">
        <f>database!E13</f>
        <v>417.6</v>
      </c>
      <c r="F13">
        <f>database!F13</f>
        <v>58.421110987914403</v>
      </c>
      <c r="G13">
        <f>database!G13</f>
        <v>41.578889012085597</v>
      </c>
      <c r="H13">
        <f>database!H13</f>
        <v>49</v>
      </c>
      <c r="I13">
        <f>database!I13</f>
        <v>33</v>
      </c>
      <c r="J13">
        <f>database!J13</f>
        <v>9</v>
      </c>
      <c r="K13">
        <f>database!K13</f>
        <v>9</v>
      </c>
      <c r="M13" s="52">
        <f>M12+((M14-M12)*(($A13-$A12)/($A14-$A12)))</f>
        <v>46.613444464285713</v>
      </c>
      <c r="N13" s="52">
        <f>N12+((N14-N12)*(($A13-$A12)/($A14-$A12)))</f>
        <v>28.662159285714289</v>
      </c>
      <c r="O13" s="52">
        <f>O12+((O14-O12)*(($A13-$A12)/($A14-$A12)))</f>
        <v>10.813370357142857</v>
      </c>
      <c r="Q13">
        <f t="shared" si="16"/>
        <v>-2.3865555357142867</v>
      </c>
      <c r="R13">
        <f t="shared" si="17"/>
        <v>-4.3378407142857114</v>
      </c>
      <c r="S13">
        <f t="shared" si="18"/>
        <v>1.8133703571428565</v>
      </c>
      <c r="U13" t="str">
        <f t="shared" si="19"/>
        <v/>
      </c>
      <c r="V13" t="str">
        <f t="shared" si="20"/>
        <v/>
      </c>
      <c r="W13" t="str">
        <f t="shared" si="21"/>
        <v/>
      </c>
      <c r="Y13" t="str">
        <f t="shared" si="22"/>
        <v/>
      </c>
      <c r="Z13" t="str">
        <f t="shared" si="23"/>
        <v/>
      </c>
      <c r="AA13" t="str">
        <f t="shared" si="24"/>
        <v/>
      </c>
      <c r="AC13" t="str">
        <f t="shared" si="25"/>
        <v/>
      </c>
      <c r="AD13" t="str">
        <f t="shared" si="26"/>
        <v/>
      </c>
      <c r="AE13" t="str">
        <f t="shared" si="27"/>
        <v/>
      </c>
      <c r="AG13" t="str">
        <f t="shared" si="13"/>
        <v/>
      </c>
      <c r="AH13" t="str">
        <f t="shared" si="14"/>
        <v/>
      </c>
      <c r="AI13" t="str">
        <f t="shared" si="15"/>
        <v/>
      </c>
      <c r="AT13" s="5">
        <v>41426</v>
      </c>
      <c r="AU13" s="3" t="s">
        <v>1</v>
      </c>
      <c r="AV13" s="6">
        <v>46.61768</v>
      </c>
      <c r="AW13" s="6">
        <v>29.403089999999999</v>
      </c>
      <c r="AX13" s="6">
        <v>10.666169999999999</v>
      </c>
    </row>
    <row r="14" spans="1:50" ht="15.75" thickBot="1" x14ac:dyDescent="0.3">
      <c r="A14" s="3">
        <f>database!A14</f>
        <v>41363</v>
      </c>
      <c r="B14" s="3" t="str">
        <f>database!B14</f>
        <v>Newspoll</v>
      </c>
      <c r="C14">
        <f>database!C14</f>
        <v>1270</v>
      </c>
      <c r="D14">
        <f>database!D14</f>
        <v>1</v>
      </c>
      <c r="E14">
        <f>database!E14</f>
        <v>1270</v>
      </c>
      <c r="F14">
        <f>database!F14</f>
        <v>61.097026964738411</v>
      </c>
      <c r="G14">
        <f>database!G14</f>
        <v>38.902973035261589</v>
      </c>
      <c r="H14">
        <f>database!H14</f>
        <v>48</v>
      </c>
      <c r="I14">
        <f>database!I14</f>
        <v>28</v>
      </c>
      <c r="J14">
        <f>database!J14</f>
        <v>10</v>
      </c>
      <c r="K14">
        <f>database!K14</f>
        <v>14</v>
      </c>
      <c r="M14" s="11">
        <f t="shared" ref="M14:O17" si="28">INDEX(AV$3:AV$31,MATCH($A14,$AT$3:$AT$31,0))</f>
        <v>46.628549999999997</v>
      </c>
      <c r="N14" s="11">
        <f t="shared" si="28"/>
        <v>28.788900000000002</v>
      </c>
      <c r="O14" s="11">
        <f t="shared" si="28"/>
        <v>10.76976</v>
      </c>
      <c r="Q14" t="str">
        <f t="shared" si="16"/>
        <v/>
      </c>
      <c r="R14" t="str">
        <f t="shared" si="17"/>
        <v/>
      </c>
      <c r="S14" t="str">
        <f t="shared" si="18"/>
        <v/>
      </c>
      <c r="U14" t="str">
        <f t="shared" si="19"/>
        <v/>
      </c>
      <c r="V14" t="str">
        <f t="shared" si="20"/>
        <v/>
      </c>
      <c r="W14" t="str">
        <f t="shared" si="21"/>
        <v/>
      </c>
      <c r="Y14" t="str">
        <f t="shared" si="22"/>
        <v/>
      </c>
      <c r="Z14" t="str">
        <f t="shared" si="23"/>
        <v/>
      </c>
      <c r="AA14" t="str">
        <f t="shared" si="24"/>
        <v/>
      </c>
      <c r="AC14" t="str">
        <f t="shared" si="25"/>
        <v/>
      </c>
      <c r="AD14" t="str">
        <f t="shared" si="26"/>
        <v/>
      </c>
      <c r="AE14" t="str">
        <f t="shared" si="27"/>
        <v/>
      </c>
      <c r="AG14" t="str">
        <f t="shared" si="13"/>
        <v/>
      </c>
      <c r="AH14" t="str">
        <f t="shared" si="14"/>
        <v/>
      </c>
      <c r="AI14" t="str">
        <f t="shared" si="15"/>
        <v/>
      </c>
      <c r="AT14" s="5">
        <v>41489</v>
      </c>
      <c r="AU14" s="3" t="s">
        <v>1</v>
      </c>
      <c r="AV14" s="6">
        <v>46.6068</v>
      </c>
      <c r="AW14" s="6">
        <v>30.017289999999999</v>
      </c>
      <c r="AX14" s="6">
        <v>10.562580000000001</v>
      </c>
    </row>
    <row r="15" spans="1:50" ht="15.75" thickBot="1" x14ac:dyDescent="0.3">
      <c r="A15" s="3">
        <f>database!A15</f>
        <v>41426</v>
      </c>
      <c r="B15" s="3" t="str">
        <f>database!B15</f>
        <v>Newspoll</v>
      </c>
      <c r="C15">
        <f>database!C15</f>
        <v>1270</v>
      </c>
      <c r="D15">
        <f>database!D15</f>
        <v>1</v>
      </c>
      <c r="E15">
        <f>database!E15</f>
        <v>1270</v>
      </c>
      <c r="F15">
        <f>database!F15</f>
        <v>60.400741255501501</v>
      </c>
      <c r="G15">
        <f>database!G15</f>
        <v>39.599258744498499</v>
      </c>
      <c r="H15">
        <f>database!H15</f>
        <v>47</v>
      </c>
      <c r="I15">
        <f>database!I15</f>
        <v>28</v>
      </c>
      <c r="J15">
        <f>database!J15</f>
        <v>12</v>
      </c>
      <c r="K15">
        <f>database!K15</f>
        <v>13</v>
      </c>
      <c r="M15" s="11">
        <f t="shared" si="28"/>
        <v>46.61768</v>
      </c>
      <c r="N15" s="11">
        <f t="shared" si="28"/>
        <v>29.403089999999999</v>
      </c>
      <c r="O15" s="11">
        <f t="shared" si="28"/>
        <v>10.666169999999999</v>
      </c>
      <c r="Q15" t="str">
        <f t="shared" si="16"/>
        <v/>
      </c>
      <c r="R15" t="str">
        <f t="shared" si="17"/>
        <v/>
      </c>
      <c r="S15" t="str">
        <f t="shared" si="18"/>
        <v/>
      </c>
      <c r="U15" t="str">
        <f t="shared" si="19"/>
        <v/>
      </c>
      <c r="V15" t="str">
        <f t="shared" si="20"/>
        <v/>
      </c>
      <c r="W15" t="str">
        <f t="shared" si="21"/>
        <v/>
      </c>
      <c r="Y15" t="str">
        <f t="shared" si="22"/>
        <v/>
      </c>
      <c r="Z15" t="str">
        <f t="shared" si="23"/>
        <v/>
      </c>
      <c r="AA15" t="str">
        <f t="shared" si="24"/>
        <v/>
      </c>
      <c r="AC15" t="str">
        <f t="shared" si="25"/>
        <v/>
      </c>
      <c r="AD15" t="str">
        <f t="shared" si="26"/>
        <v/>
      </c>
      <c r="AE15" t="str">
        <f t="shared" si="27"/>
        <v/>
      </c>
      <c r="AG15" t="str">
        <f t="shared" si="13"/>
        <v/>
      </c>
      <c r="AH15" t="str">
        <f t="shared" si="14"/>
        <v/>
      </c>
      <c r="AI15" t="str">
        <f t="shared" si="15"/>
        <v/>
      </c>
      <c r="AT15" s="5">
        <v>41552</v>
      </c>
      <c r="AU15" s="3" t="s">
        <v>1</v>
      </c>
      <c r="AV15" s="6">
        <v>46.006770000000003</v>
      </c>
      <c r="AW15" s="6">
        <v>30.58202</v>
      </c>
      <c r="AX15" s="6">
        <v>10.716710000000001</v>
      </c>
    </row>
    <row r="16" spans="1:50" ht="15.75" thickBot="1" x14ac:dyDescent="0.3">
      <c r="A16" s="3">
        <f>database!A16</f>
        <v>41489</v>
      </c>
      <c r="B16" s="3" t="str">
        <f>database!B16</f>
        <v>Newspoll</v>
      </c>
      <c r="C16">
        <f>database!C16</f>
        <v>1270</v>
      </c>
      <c r="D16">
        <f>database!D16</f>
        <v>1</v>
      </c>
      <c r="E16">
        <f>database!E16</f>
        <v>1270</v>
      </c>
      <c r="F16">
        <f>database!F16</f>
        <v>61.572802197802204</v>
      </c>
      <c r="G16">
        <f>database!G16</f>
        <v>38.427197802197796</v>
      </c>
      <c r="H16">
        <f>database!H16</f>
        <v>49</v>
      </c>
      <c r="I16">
        <f>database!I16</f>
        <v>28</v>
      </c>
      <c r="J16">
        <f>database!J16</f>
        <v>10</v>
      </c>
      <c r="K16">
        <f>database!K16</f>
        <v>13</v>
      </c>
      <c r="M16" s="11">
        <f t="shared" si="28"/>
        <v>46.6068</v>
      </c>
      <c r="N16" s="11">
        <f t="shared" si="28"/>
        <v>30.017289999999999</v>
      </c>
      <c r="O16" s="11">
        <f t="shared" si="28"/>
        <v>10.562580000000001</v>
      </c>
      <c r="Q16" t="str">
        <f t="shared" si="16"/>
        <v/>
      </c>
      <c r="R16" t="str">
        <f t="shared" si="17"/>
        <v/>
      </c>
      <c r="S16" t="str">
        <f t="shared" si="18"/>
        <v/>
      </c>
      <c r="U16" t="str">
        <f t="shared" si="19"/>
        <v/>
      </c>
      <c r="V16" t="str">
        <f t="shared" si="20"/>
        <v/>
      </c>
      <c r="W16" t="str">
        <f t="shared" si="21"/>
        <v/>
      </c>
      <c r="Y16" t="str">
        <f t="shared" si="22"/>
        <v/>
      </c>
      <c r="Z16" t="str">
        <f t="shared" si="23"/>
        <v/>
      </c>
      <c r="AA16" t="str">
        <f t="shared" si="24"/>
        <v/>
      </c>
      <c r="AC16" t="str">
        <f t="shared" si="25"/>
        <v/>
      </c>
      <c r="AD16" t="str">
        <f t="shared" si="26"/>
        <v/>
      </c>
      <c r="AE16" t="str">
        <f t="shared" si="27"/>
        <v/>
      </c>
      <c r="AG16" t="str">
        <f t="shared" si="13"/>
        <v/>
      </c>
      <c r="AH16" t="str">
        <f t="shared" si="14"/>
        <v/>
      </c>
      <c r="AI16" t="str">
        <f t="shared" si="15"/>
        <v/>
      </c>
      <c r="AT16" s="5">
        <v>41678</v>
      </c>
      <c r="AU16" s="2" t="s">
        <v>1</v>
      </c>
      <c r="AV16" s="6">
        <v>44.806699999999999</v>
      </c>
      <c r="AW16" s="6">
        <v>31.711490000000001</v>
      </c>
      <c r="AX16" s="6">
        <v>11.024979999999999</v>
      </c>
    </row>
    <row r="17" spans="1:50" x14ac:dyDescent="0.25">
      <c r="A17" s="3">
        <f>database!A17</f>
        <v>41552</v>
      </c>
      <c r="B17" s="3" t="str">
        <f>database!B17</f>
        <v>Newspoll</v>
      </c>
      <c r="C17">
        <f>database!C17</f>
        <v>1270</v>
      </c>
      <c r="D17">
        <f>database!D17</f>
        <v>1</v>
      </c>
      <c r="E17">
        <f>database!E17</f>
        <v>1270</v>
      </c>
      <c r="F17">
        <f>database!F17</f>
        <v>56.994047619047613</v>
      </c>
      <c r="G17">
        <f>database!G17</f>
        <v>43.005952380952387</v>
      </c>
      <c r="H17">
        <f>database!H17</f>
        <v>45</v>
      </c>
      <c r="I17">
        <f>database!I17</f>
        <v>32</v>
      </c>
      <c r="J17">
        <f>database!J17</f>
        <v>10</v>
      </c>
      <c r="K17">
        <f>database!K17</f>
        <v>13</v>
      </c>
      <c r="M17" s="11">
        <f t="shared" si="28"/>
        <v>46.006770000000003</v>
      </c>
      <c r="N17" s="11">
        <f t="shared" si="28"/>
        <v>30.58202</v>
      </c>
      <c r="O17" s="11">
        <f t="shared" si="28"/>
        <v>10.716710000000001</v>
      </c>
      <c r="Q17" t="str">
        <f t="shared" si="16"/>
        <v/>
      </c>
      <c r="R17" t="str">
        <f t="shared" si="17"/>
        <v/>
      </c>
      <c r="S17" t="str">
        <f t="shared" si="18"/>
        <v/>
      </c>
      <c r="U17" t="str">
        <f t="shared" si="19"/>
        <v/>
      </c>
      <c r="V17" t="str">
        <f t="shared" si="20"/>
        <v/>
      </c>
      <c r="W17" t="str">
        <f t="shared" si="21"/>
        <v/>
      </c>
      <c r="Y17" t="str">
        <f t="shared" si="22"/>
        <v/>
      </c>
      <c r="Z17" t="str">
        <f t="shared" si="23"/>
        <v/>
      </c>
      <c r="AA17" t="str">
        <f t="shared" si="24"/>
        <v/>
      </c>
      <c r="AC17" t="str">
        <f t="shared" si="25"/>
        <v/>
      </c>
      <c r="AD17" t="str">
        <f t="shared" si="26"/>
        <v/>
      </c>
      <c r="AE17" t="str">
        <f t="shared" si="27"/>
        <v/>
      </c>
      <c r="AG17" t="str">
        <f t="shared" si="13"/>
        <v/>
      </c>
      <c r="AH17" t="str">
        <f t="shared" si="14"/>
        <v/>
      </c>
      <c r="AI17" t="str">
        <f t="shared" si="15"/>
        <v/>
      </c>
      <c r="AT17" s="5">
        <v>41786</v>
      </c>
      <c r="AU17" t="s">
        <v>2</v>
      </c>
      <c r="AV17" s="6">
        <v>43.578069999999997</v>
      </c>
      <c r="AW17" s="6">
        <v>32.679609999999997</v>
      </c>
      <c r="AX17" s="6">
        <v>11.551450000000001</v>
      </c>
    </row>
    <row r="18" spans="1:50" x14ac:dyDescent="0.25">
      <c r="A18" s="3">
        <f>database!A18</f>
        <v>41595</v>
      </c>
      <c r="B18" s="3" t="str">
        <f>database!B18</f>
        <v>Essential</v>
      </c>
      <c r="C18">
        <f>database!C18</f>
        <v>1275</v>
      </c>
      <c r="D18">
        <f>database!D18</f>
        <v>0.4</v>
      </c>
      <c r="E18">
        <f>database!E18</f>
        <v>510</v>
      </c>
      <c r="F18">
        <f>database!F18</f>
        <v>58.5219707057257</v>
      </c>
      <c r="G18">
        <f>database!G18</f>
        <v>41.4780292942743</v>
      </c>
      <c r="H18">
        <f>database!H18</f>
        <v>49</v>
      </c>
      <c r="I18">
        <f>database!I18</f>
        <v>33</v>
      </c>
      <c r="J18">
        <f>database!J18</f>
        <v>8</v>
      </c>
      <c r="K18">
        <f>database!K18</f>
        <v>10</v>
      </c>
      <c r="M18" s="52">
        <f>M17+((M$21-M17)*(($A18-$A17)/($A$21-$A17)))</f>
        <v>45.597222301587301</v>
      </c>
      <c r="N18" s="52">
        <f t="shared" ref="N18:O18" si="29">N17+((N$21-N17)*(($A18-$A17)/($A$21-$A17)))</f>
        <v>30.967474047619049</v>
      </c>
      <c r="O18" s="52">
        <f t="shared" si="29"/>
        <v>10.821913253968255</v>
      </c>
      <c r="Q18">
        <f t="shared" si="16"/>
        <v>-3.4027776984126987</v>
      </c>
      <c r="R18">
        <f t="shared" si="17"/>
        <v>-2.0325259523809507</v>
      </c>
      <c r="S18">
        <f t="shared" si="18"/>
        <v>2.8219132539682548</v>
      </c>
      <c r="U18" t="str">
        <f t="shared" si="19"/>
        <v/>
      </c>
      <c r="V18" t="str">
        <f t="shared" si="20"/>
        <v/>
      </c>
      <c r="W18" t="str">
        <f t="shared" si="21"/>
        <v/>
      </c>
      <c r="Y18" t="str">
        <f t="shared" si="22"/>
        <v/>
      </c>
      <c r="Z18" t="str">
        <f t="shared" si="23"/>
        <v/>
      </c>
      <c r="AA18" t="str">
        <f t="shared" si="24"/>
        <v/>
      </c>
      <c r="AC18" t="str">
        <f t="shared" si="25"/>
        <v/>
      </c>
      <c r="AD18" t="str">
        <f t="shared" si="26"/>
        <v/>
      </c>
      <c r="AE18" t="str">
        <f t="shared" si="27"/>
        <v/>
      </c>
      <c r="AG18" t="str">
        <f t="shared" si="13"/>
        <v/>
      </c>
      <c r="AH18" t="str">
        <f t="shared" si="14"/>
        <v/>
      </c>
      <c r="AI18" t="str">
        <f t="shared" si="15"/>
        <v/>
      </c>
      <c r="AT18" s="5">
        <v>41790</v>
      </c>
      <c r="AU18" t="s">
        <v>1</v>
      </c>
      <c r="AV18" s="6">
        <v>43.539079999999998</v>
      </c>
      <c r="AW18" s="6">
        <v>32.716090000000001</v>
      </c>
      <c r="AX18" s="6">
        <v>11.57901</v>
      </c>
    </row>
    <row r="19" spans="1:50" x14ac:dyDescent="0.25">
      <c r="A19" s="3">
        <f>database!A19</f>
        <v>41616</v>
      </c>
      <c r="B19" s="3" t="str">
        <f>database!B19</f>
        <v>Essential</v>
      </c>
      <c r="C19">
        <f>database!C19</f>
        <v>973</v>
      </c>
      <c r="D19">
        <f>database!D19</f>
        <v>0.4</v>
      </c>
      <c r="E19">
        <f>database!E19</f>
        <v>389.20000000000005</v>
      </c>
      <c r="F19">
        <f>database!F19</f>
        <v>54.082893406716835</v>
      </c>
      <c r="G19">
        <f>database!G19</f>
        <v>45.917106593283165</v>
      </c>
      <c r="H19">
        <f>database!H19</f>
        <v>44</v>
      </c>
      <c r="I19">
        <f>database!I19</f>
        <v>36</v>
      </c>
      <c r="J19">
        <f>database!J19</f>
        <v>9</v>
      </c>
      <c r="K19">
        <f>database!K19</f>
        <v>11</v>
      </c>
      <c r="M19" s="52">
        <f>M17+((M$21-M17)*(($A19-$A17)/($A$21-$A17)))</f>
        <v>45.397210634920633</v>
      </c>
      <c r="N19" s="52">
        <f t="shared" ref="N19:O19" si="30">N17+((N$21-N17)*(($A19-$A17)/($A$21-$A17)))</f>
        <v>31.155719047619048</v>
      </c>
      <c r="O19" s="52">
        <f t="shared" si="30"/>
        <v>10.873291587301587</v>
      </c>
      <c r="Q19">
        <f t="shared" si="16"/>
        <v>1.3972106349206328</v>
      </c>
      <c r="R19">
        <f t="shared" si="17"/>
        <v>-4.8442809523809522</v>
      </c>
      <c r="S19">
        <f t="shared" si="18"/>
        <v>1.873291587301587</v>
      </c>
      <c r="U19" t="str">
        <f t="shared" si="19"/>
        <v/>
      </c>
      <c r="V19" t="str">
        <f t="shared" si="20"/>
        <v/>
      </c>
      <c r="W19" t="str">
        <f t="shared" si="21"/>
        <v/>
      </c>
      <c r="Y19" t="str">
        <f t="shared" si="22"/>
        <v/>
      </c>
      <c r="Z19" t="str">
        <f t="shared" si="23"/>
        <v/>
      </c>
      <c r="AA19" t="str">
        <f t="shared" si="24"/>
        <v/>
      </c>
      <c r="AC19" t="str">
        <f t="shared" si="25"/>
        <v/>
      </c>
      <c r="AD19" t="str">
        <f t="shared" si="26"/>
        <v/>
      </c>
      <c r="AE19" t="str">
        <f t="shared" si="27"/>
        <v/>
      </c>
      <c r="AG19" t="str">
        <f t="shared" si="13"/>
        <v/>
      </c>
      <c r="AH19" t="str">
        <f t="shared" si="14"/>
        <v/>
      </c>
      <c r="AI19" t="str">
        <f t="shared" si="15"/>
        <v/>
      </c>
      <c r="AT19" s="5">
        <v>41860</v>
      </c>
      <c r="AU19" s="2" t="s">
        <v>1</v>
      </c>
      <c r="AV19" s="6">
        <v>42.856679999999997</v>
      </c>
      <c r="AW19" s="6">
        <v>33.354610000000001</v>
      </c>
      <c r="AX19" s="6">
        <v>12.061389999999999</v>
      </c>
    </row>
    <row r="20" spans="1:50" ht="15.75" thickBot="1" x14ac:dyDescent="0.3">
      <c r="A20" s="3">
        <f>database!A20</f>
        <v>41658</v>
      </c>
      <c r="B20" s="3" t="str">
        <f>database!B20</f>
        <v>Essential</v>
      </c>
      <c r="C20">
        <f>database!C20</f>
        <v>1130</v>
      </c>
      <c r="D20">
        <f>database!D20</f>
        <v>0.4</v>
      </c>
      <c r="E20">
        <f>database!E20</f>
        <v>452</v>
      </c>
      <c r="F20">
        <f>database!F20</f>
        <v>58.041098950189863</v>
      </c>
      <c r="G20">
        <f>database!G20</f>
        <v>41.958901049810137</v>
      </c>
      <c r="H20">
        <f>database!H20</f>
        <v>48</v>
      </c>
      <c r="I20">
        <f>database!I20</f>
        <v>33</v>
      </c>
      <c r="J20">
        <f>database!J20</f>
        <v>8</v>
      </c>
      <c r="K20">
        <f>database!K20</f>
        <v>11</v>
      </c>
      <c r="M20" s="52">
        <f>M17+((M$21-M17)*(($A20-$A17)/($A$21-$A17)))</f>
        <v>44.997187301587303</v>
      </c>
      <c r="N20" s="52">
        <f t="shared" ref="N20:O20" si="31">N17+((N$21-N17)*(($A20-$A17)/($A$21-$A17)))</f>
        <v>31.532209047619048</v>
      </c>
      <c r="O20" s="52">
        <f t="shared" si="31"/>
        <v>10.976048253968253</v>
      </c>
      <c r="Q20">
        <f t="shared" si="16"/>
        <v>-3.002812698412697</v>
      </c>
      <c r="R20">
        <f t="shared" si="17"/>
        <v>-1.4677909523809518</v>
      </c>
      <c r="S20">
        <f t="shared" si="18"/>
        <v>2.9760482539682531</v>
      </c>
      <c r="U20" t="str">
        <f t="shared" si="19"/>
        <v/>
      </c>
      <c r="V20" t="str">
        <f t="shared" si="20"/>
        <v/>
      </c>
      <c r="W20" t="str">
        <f t="shared" si="21"/>
        <v/>
      </c>
      <c r="Y20" t="str">
        <f t="shared" si="22"/>
        <v/>
      </c>
      <c r="Z20" t="str">
        <f t="shared" si="23"/>
        <v/>
      </c>
      <c r="AA20" t="str">
        <f t="shared" si="24"/>
        <v/>
      </c>
      <c r="AC20" t="str">
        <f t="shared" si="25"/>
        <v/>
      </c>
      <c r="AD20" t="str">
        <f t="shared" si="26"/>
        <v/>
      </c>
      <c r="AE20" t="str">
        <f t="shared" si="27"/>
        <v/>
      </c>
      <c r="AG20" t="str">
        <f t="shared" si="13"/>
        <v/>
      </c>
      <c r="AH20" t="str">
        <f t="shared" si="14"/>
        <v/>
      </c>
      <c r="AI20" t="str">
        <f t="shared" si="15"/>
        <v/>
      </c>
      <c r="AT20" s="5">
        <v>41872</v>
      </c>
      <c r="AU20" t="s">
        <v>2</v>
      </c>
      <c r="AV20" s="6">
        <v>42.919490000000003</v>
      </c>
      <c r="AW20" s="6">
        <v>33.46407</v>
      </c>
      <c r="AX20" s="6">
        <v>12.018750000000001</v>
      </c>
    </row>
    <row r="21" spans="1:50" x14ac:dyDescent="0.25">
      <c r="A21" s="3">
        <f>database!A21</f>
        <v>41678</v>
      </c>
      <c r="B21" s="3" t="str">
        <f>database!B21</f>
        <v>Newspoll</v>
      </c>
      <c r="C21">
        <f>database!C21</f>
        <v>1270</v>
      </c>
      <c r="D21">
        <f>database!D21</f>
        <v>1</v>
      </c>
      <c r="E21">
        <f>database!E21</f>
        <v>1270</v>
      </c>
      <c r="F21">
        <f>database!F21</f>
        <v>58.13873626373627</v>
      </c>
      <c r="G21">
        <f>database!G21</f>
        <v>41.86126373626373</v>
      </c>
      <c r="H21">
        <f>database!H21</f>
        <v>46</v>
      </c>
      <c r="I21">
        <f>database!I21</f>
        <v>31</v>
      </c>
      <c r="J21">
        <f>database!J21</f>
        <v>10</v>
      </c>
      <c r="K21">
        <f>database!K21</f>
        <v>13</v>
      </c>
      <c r="M21" s="11">
        <f>INDEX(AV$3:AV$31,MATCH($A21,$AT$3:$AT$31,0))</f>
        <v>44.806699999999999</v>
      </c>
      <c r="N21" s="11">
        <f>INDEX(AW$3:AW$31,MATCH($A21,$AT$3:$AT$31,0))</f>
        <v>31.711490000000001</v>
      </c>
      <c r="O21" s="11">
        <f>INDEX(AX$3:AX$31,MATCH($A21,$AT$3:$AT$31,0))</f>
        <v>11.024979999999999</v>
      </c>
      <c r="Q21" t="str">
        <f t="shared" si="16"/>
        <v/>
      </c>
      <c r="R21" t="str">
        <f t="shared" si="17"/>
        <v/>
      </c>
      <c r="S21" t="str">
        <f t="shared" si="18"/>
        <v/>
      </c>
      <c r="U21" t="str">
        <f t="shared" si="19"/>
        <v/>
      </c>
      <c r="V21" t="str">
        <f t="shared" si="20"/>
        <v/>
      </c>
      <c r="W21" t="str">
        <f t="shared" si="21"/>
        <v/>
      </c>
      <c r="Y21" t="str">
        <f t="shared" si="22"/>
        <v/>
      </c>
      <c r="Z21" t="str">
        <f t="shared" si="23"/>
        <v/>
      </c>
      <c r="AA21" t="str">
        <f t="shared" si="24"/>
        <v/>
      </c>
      <c r="AC21" t="str">
        <f t="shared" si="25"/>
        <v/>
      </c>
      <c r="AD21" t="str">
        <f t="shared" si="26"/>
        <v/>
      </c>
      <c r="AE21" t="str">
        <f t="shared" si="27"/>
        <v/>
      </c>
      <c r="AG21" t="str">
        <f t="shared" si="13"/>
        <v/>
      </c>
      <c r="AH21" t="str">
        <f t="shared" si="14"/>
        <v/>
      </c>
      <c r="AI21" t="str">
        <f t="shared" si="15"/>
        <v/>
      </c>
      <c r="AT21" s="5">
        <v>41916</v>
      </c>
      <c r="AU21" s="2" t="s">
        <v>1</v>
      </c>
      <c r="AV21" s="6">
        <v>43.14978</v>
      </c>
      <c r="AW21" s="6">
        <v>33.86542</v>
      </c>
      <c r="AX21" s="6">
        <v>11.862399999999999</v>
      </c>
    </row>
    <row r="22" spans="1:50" x14ac:dyDescent="0.25">
      <c r="A22" s="3">
        <f>database!A22</f>
        <v>41686</v>
      </c>
      <c r="B22" s="3" t="str">
        <f>database!B22</f>
        <v>Essential</v>
      </c>
      <c r="C22">
        <f>database!C22</f>
        <v>1258</v>
      </c>
      <c r="D22">
        <f>database!D22</f>
        <v>0.4</v>
      </c>
      <c r="E22">
        <f>database!E22</f>
        <v>503.20000000000005</v>
      </c>
      <c r="F22">
        <f>database!F22</f>
        <v>55.6890848952591</v>
      </c>
      <c r="G22">
        <f>database!G22</f>
        <v>44.3109151047409</v>
      </c>
      <c r="H22">
        <f>database!H22</f>
        <v>47</v>
      </c>
      <c r="I22">
        <f>database!I22</f>
        <v>36</v>
      </c>
      <c r="J22">
        <f>database!J22</f>
        <v>8</v>
      </c>
      <c r="K22">
        <f>database!K22</f>
        <v>9</v>
      </c>
      <c r="M22" s="52">
        <f>M21+((M$26-M21)*(($A22-$A21)/($A$26-$A21)))</f>
        <v>44.715690370370368</v>
      </c>
      <c r="N22" s="52">
        <f t="shared" ref="N22:O22" si="32">N21+((N$26-N21)*(($A22-$A21)/($A$26-$A21)))</f>
        <v>31.783202592592595</v>
      </c>
      <c r="O22" s="52">
        <f t="shared" si="32"/>
        <v>11.063977777777778</v>
      </c>
      <c r="Q22">
        <f t="shared" si="16"/>
        <v>-2.2843096296296324</v>
      </c>
      <c r="R22">
        <f t="shared" si="17"/>
        <v>-4.2167974074074053</v>
      </c>
      <c r="S22">
        <f t="shared" si="18"/>
        <v>3.0639777777777777</v>
      </c>
      <c r="U22" t="str">
        <f t="shared" si="19"/>
        <v/>
      </c>
      <c r="V22" t="str">
        <f t="shared" si="20"/>
        <v/>
      </c>
      <c r="W22" t="str">
        <f t="shared" si="21"/>
        <v/>
      </c>
      <c r="Y22" t="str">
        <f t="shared" si="22"/>
        <v/>
      </c>
      <c r="Z22" t="str">
        <f t="shared" si="23"/>
        <v/>
      </c>
      <c r="AA22" t="str">
        <f t="shared" si="24"/>
        <v/>
      </c>
      <c r="AC22" t="str">
        <f t="shared" si="25"/>
        <v/>
      </c>
      <c r="AD22" t="str">
        <f t="shared" si="26"/>
        <v/>
      </c>
      <c r="AE22" t="str">
        <f t="shared" si="27"/>
        <v/>
      </c>
      <c r="AG22" t="str">
        <f t="shared" si="13"/>
        <v/>
      </c>
      <c r="AH22" t="str">
        <f t="shared" si="14"/>
        <v/>
      </c>
      <c r="AI22" t="str">
        <f t="shared" si="15"/>
        <v/>
      </c>
      <c r="AT22" s="5">
        <v>41963</v>
      </c>
      <c r="AU22" s="2" t="s">
        <v>2</v>
      </c>
      <c r="AV22" s="6">
        <v>43.897880000000001</v>
      </c>
      <c r="AW22" s="6">
        <v>34.296790000000001</v>
      </c>
      <c r="AX22" s="6">
        <v>11.491580000000001</v>
      </c>
    </row>
    <row r="23" spans="1:50" x14ac:dyDescent="0.25">
      <c r="A23" s="3">
        <f>database!A23</f>
        <v>41714</v>
      </c>
      <c r="B23" s="3" t="str">
        <f>database!B23</f>
        <v>Essential</v>
      </c>
      <c r="C23">
        <f>database!C23</f>
        <v>1007</v>
      </c>
      <c r="D23">
        <f>database!D23</f>
        <v>0.4</v>
      </c>
      <c r="E23">
        <f>database!E23</f>
        <v>402.8</v>
      </c>
      <c r="F23">
        <f>database!F23</f>
        <v>54.586549062844547</v>
      </c>
      <c r="G23">
        <f>database!G23</f>
        <v>45.413450937155453</v>
      </c>
      <c r="H23">
        <f>database!H23</f>
        <v>46</v>
      </c>
      <c r="I23">
        <f>database!I23</f>
        <v>37</v>
      </c>
      <c r="J23">
        <f>database!J23</f>
        <v>8</v>
      </c>
      <c r="K23">
        <f>database!K23</f>
        <v>9</v>
      </c>
      <c r="M23" s="52">
        <f>M21+((M$26-M21)*(($A23-$A21)/($A$26-$A21)))</f>
        <v>44.397156666666667</v>
      </c>
      <c r="N23" s="52">
        <f t="shared" ref="N23:O23" si="33">N21+((N$26-N21)*(($A23-$A21)/($A$26-$A21)))</f>
        <v>32.034196666666666</v>
      </c>
      <c r="O23" s="52">
        <f t="shared" si="33"/>
        <v>11.200469999999999</v>
      </c>
      <c r="Q23">
        <f t="shared" si="16"/>
        <v>-1.6028433333333325</v>
      </c>
      <c r="R23">
        <f t="shared" si="17"/>
        <v>-4.9658033333333336</v>
      </c>
      <c r="S23">
        <f t="shared" si="18"/>
        <v>3.2004699999999993</v>
      </c>
      <c r="U23" t="str">
        <f t="shared" si="19"/>
        <v/>
      </c>
      <c r="V23" t="str">
        <f t="shared" si="20"/>
        <v/>
      </c>
      <c r="W23" t="str">
        <f t="shared" si="21"/>
        <v/>
      </c>
      <c r="Y23" t="str">
        <f t="shared" si="22"/>
        <v/>
      </c>
      <c r="Z23" t="str">
        <f t="shared" si="23"/>
        <v/>
      </c>
      <c r="AA23" t="str">
        <f t="shared" si="24"/>
        <v/>
      </c>
      <c r="AC23" t="str">
        <f t="shared" si="25"/>
        <v/>
      </c>
      <c r="AD23" t="str">
        <f t="shared" si="26"/>
        <v/>
      </c>
      <c r="AE23" t="str">
        <f t="shared" si="27"/>
        <v/>
      </c>
      <c r="AG23" t="str">
        <f t="shared" si="13"/>
        <v/>
      </c>
      <c r="AH23" t="str">
        <f t="shared" si="14"/>
        <v/>
      </c>
      <c r="AI23" t="str">
        <f t="shared" si="15"/>
        <v/>
      </c>
      <c r="AT23" s="5">
        <v>41972</v>
      </c>
      <c r="AU23" s="2" t="s">
        <v>1</v>
      </c>
      <c r="AV23" s="6">
        <v>44.041139999999999</v>
      </c>
      <c r="AW23" s="6">
        <v>34.379390000000001</v>
      </c>
      <c r="AX23" s="6">
        <v>11.42057</v>
      </c>
    </row>
    <row r="24" spans="1:50" x14ac:dyDescent="0.25">
      <c r="A24" s="3">
        <f>database!A24</f>
        <v>41749</v>
      </c>
      <c r="B24" s="3" t="str">
        <f>database!B24</f>
        <v>Essential</v>
      </c>
      <c r="C24">
        <f>database!C24</f>
        <v>1587</v>
      </c>
      <c r="D24">
        <f>database!D24</f>
        <v>0.4</v>
      </c>
      <c r="E24">
        <f>database!E24</f>
        <v>634.80000000000007</v>
      </c>
      <c r="F24">
        <f>database!F24</f>
        <v>55.193075898801602</v>
      </c>
      <c r="G24">
        <f>database!G24</f>
        <v>44.806924101198398</v>
      </c>
      <c r="H24">
        <f>database!H24</f>
        <v>46</v>
      </c>
      <c r="I24">
        <f>database!I24</f>
        <v>36</v>
      </c>
      <c r="J24">
        <f>database!J24</f>
        <v>8</v>
      </c>
      <c r="K24">
        <f>database!K24</f>
        <v>10</v>
      </c>
      <c r="M24" s="52">
        <f>M21+((M$26-M21)*(($A24-$A21)/($A$26-$A21)))</f>
        <v>43.998989537037033</v>
      </c>
      <c r="N24" s="52">
        <f t="shared" ref="N24:O24" si="34">N21+((N$26-N21)*(($A24-$A21)/($A$26-$A21)))</f>
        <v>32.347939259259256</v>
      </c>
      <c r="O24" s="52">
        <f t="shared" si="34"/>
        <v>11.371085277777778</v>
      </c>
      <c r="Q24">
        <f t="shared" si="16"/>
        <v>-2.0010104629629666</v>
      </c>
      <c r="R24">
        <f t="shared" si="17"/>
        <v>-3.6520607407407439</v>
      </c>
      <c r="S24">
        <f t="shared" si="18"/>
        <v>3.3710852777777784</v>
      </c>
      <c r="U24" t="str">
        <f t="shared" si="19"/>
        <v/>
      </c>
      <c r="V24" t="str">
        <f t="shared" si="20"/>
        <v/>
      </c>
      <c r="W24" t="str">
        <f t="shared" si="21"/>
        <v/>
      </c>
      <c r="Y24" t="str">
        <f t="shared" si="22"/>
        <v/>
      </c>
      <c r="Z24" t="str">
        <f t="shared" si="23"/>
        <v/>
      </c>
      <c r="AA24" t="str">
        <f t="shared" si="24"/>
        <v/>
      </c>
      <c r="AC24" t="str">
        <f t="shared" si="25"/>
        <v/>
      </c>
      <c r="AD24" t="str">
        <f t="shared" si="26"/>
        <v/>
      </c>
      <c r="AE24" t="str">
        <f t="shared" si="27"/>
        <v/>
      </c>
      <c r="AG24" t="str">
        <f t="shared" si="13"/>
        <v/>
      </c>
      <c r="AH24" t="str">
        <f t="shared" si="14"/>
        <v/>
      </c>
      <c r="AI24" t="str">
        <f t="shared" si="15"/>
        <v/>
      </c>
      <c r="AT24" s="5">
        <v>42011</v>
      </c>
      <c r="AU24" s="2" t="s">
        <v>2</v>
      </c>
      <c r="AV24" s="6">
        <v>44.16028</v>
      </c>
      <c r="AW24" s="6">
        <v>34.737340000000003</v>
      </c>
      <c r="AX24" s="6">
        <v>11.036300000000001</v>
      </c>
    </row>
    <row r="25" spans="1:50" ht="15.75" thickBot="1" x14ac:dyDescent="0.3">
      <c r="A25" s="3">
        <f>database!A25</f>
        <v>41777</v>
      </c>
      <c r="B25" s="3" t="str">
        <f>database!B25</f>
        <v>Essential</v>
      </c>
      <c r="C25">
        <f>database!C25</f>
        <v>1293</v>
      </c>
      <c r="D25">
        <f>database!D25</f>
        <v>0.4</v>
      </c>
      <c r="E25">
        <f>database!E25</f>
        <v>517.20000000000005</v>
      </c>
      <c r="F25">
        <f>database!F25</f>
        <v>51.836459620352692</v>
      </c>
      <c r="G25">
        <f>database!G25</f>
        <v>48.163540379647308</v>
      </c>
      <c r="H25">
        <f>database!H25</f>
        <v>42</v>
      </c>
      <c r="I25">
        <f>database!I25</f>
        <v>38</v>
      </c>
      <c r="J25">
        <f>database!J25</f>
        <v>9</v>
      </c>
      <c r="K25">
        <f>database!K25</f>
        <v>11</v>
      </c>
      <c r="M25" s="52">
        <f>M21+((M$26-M21)*(($A25-$A21)/($A$26-$A21)))</f>
        <v>43.680455833333333</v>
      </c>
      <c r="N25" s="52">
        <f t="shared" ref="N25:O25" si="35">N21+((N$26-N21)*(($A25-$A21)/($A$26-$A21)))</f>
        <v>32.598933333333328</v>
      </c>
      <c r="O25" s="52">
        <f t="shared" si="35"/>
        <v>11.5075775</v>
      </c>
      <c r="Q25">
        <f t="shared" si="16"/>
        <v>1.6804558333333333</v>
      </c>
      <c r="R25">
        <f t="shared" si="17"/>
        <v>-5.4010666666666722</v>
      </c>
      <c r="S25">
        <f t="shared" si="18"/>
        <v>2.5075775</v>
      </c>
      <c r="U25" t="str">
        <f t="shared" si="19"/>
        <v/>
      </c>
      <c r="V25" t="str">
        <f t="shared" si="20"/>
        <v/>
      </c>
      <c r="W25" t="str">
        <f t="shared" si="21"/>
        <v/>
      </c>
      <c r="Y25" t="str">
        <f t="shared" si="22"/>
        <v/>
      </c>
      <c r="Z25" t="str">
        <f t="shared" si="23"/>
        <v/>
      </c>
      <c r="AA25" t="str">
        <f t="shared" si="24"/>
        <v/>
      </c>
      <c r="AC25" t="str">
        <f t="shared" si="25"/>
        <v/>
      </c>
      <c r="AD25" t="str">
        <f t="shared" si="26"/>
        <v/>
      </c>
      <c r="AE25" t="str">
        <f t="shared" si="27"/>
        <v/>
      </c>
      <c r="AG25" t="str">
        <f t="shared" si="13"/>
        <v/>
      </c>
      <c r="AH25" t="str">
        <f t="shared" si="14"/>
        <v/>
      </c>
      <c r="AI25" t="str">
        <f t="shared" si="15"/>
        <v/>
      </c>
      <c r="AT25" s="5">
        <v>42026</v>
      </c>
      <c r="AU25" s="2" t="s">
        <v>2</v>
      </c>
      <c r="AV25" s="6">
        <v>44.206110000000002</v>
      </c>
      <c r="AW25" s="6">
        <v>34.875010000000003</v>
      </c>
      <c r="AX25" s="6">
        <v>10.888500000000001</v>
      </c>
    </row>
    <row r="26" spans="1:50" ht="15.75" thickBot="1" x14ac:dyDescent="0.3">
      <c r="A26" s="3">
        <f>database!A26</f>
        <v>41786</v>
      </c>
      <c r="B26" s="3" t="str">
        <f>database!B26</f>
        <v>Galaxy</v>
      </c>
      <c r="C26">
        <f>database!C26</f>
        <v>1000</v>
      </c>
      <c r="D26">
        <f>database!D26</f>
        <v>1.1000000000000001</v>
      </c>
      <c r="E26">
        <f>database!E26</f>
        <v>1100</v>
      </c>
      <c r="F26">
        <f>database!F26</f>
        <v>52.764382639901321</v>
      </c>
      <c r="G26">
        <f>database!G26</f>
        <v>47.235617360098679</v>
      </c>
      <c r="H26">
        <f>database!H26</f>
        <v>43</v>
      </c>
      <c r="I26">
        <f>database!I26</f>
        <v>37</v>
      </c>
      <c r="J26">
        <f>database!J26</f>
        <v>11</v>
      </c>
      <c r="K26">
        <f>database!K26</f>
        <v>9</v>
      </c>
      <c r="M26" s="11">
        <f t="shared" ref="M26:O28" si="36">INDEX(AV$3:AV$31,MATCH($A26,$AT$3:$AT$31,0))</f>
        <v>43.578069999999997</v>
      </c>
      <c r="N26" s="11">
        <f t="shared" si="36"/>
        <v>32.679609999999997</v>
      </c>
      <c r="O26" s="11">
        <f t="shared" si="36"/>
        <v>11.551450000000001</v>
      </c>
      <c r="Q26" t="str">
        <f t="shared" si="16"/>
        <v/>
      </c>
      <c r="R26" t="str">
        <f t="shared" si="17"/>
        <v/>
      </c>
      <c r="S26" t="str">
        <f t="shared" si="18"/>
        <v/>
      </c>
      <c r="U26" t="str">
        <f t="shared" si="19"/>
        <v/>
      </c>
      <c r="V26" t="str">
        <f t="shared" si="20"/>
        <v/>
      </c>
      <c r="W26" t="str">
        <f t="shared" si="21"/>
        <v/>
      </c>
      <c r="Y26" t="str">
        <f t="shared" si="22"/>
        <v/>
      </c>
      <c r="Z26" t="str">
        <f t="shared" si="23"/>
        <v/>
      </c>
      <c r="AA26" t="str">
        <f t="shared" si="24"/>
        <v/>
      </c>
      <c r="AC26" t="str">
        <f t="shared" si="25"/>
        <v/>
      </c>
      <c r="AD26" t="str">
        <f t="shared" si="26"/>
        <v/>
      </c>
      <c r="AE26" t="str">
        <f t="shared" si="27"/>
        <v/>
      </c>
      <c r="AG26" t="str">
        <f t="shared" si="13"/>
        <v/>
      </c>
      <c r="AH26" t="str">
        <f t="shared" si="14"/>
        <v/>
      </c>
      <c r="AI26" t="str">
        <f t="shared" si="15"/>
        <v/>
      </c>
      <c r="AT26" s="5">
        <v>42054</v>
      </c>
      <c r="AU26" s="2" t="s">
        <v>2</v>
      </c>
      <c r="AV26" s="6">
        <v>44.123660000000001</v>
      </c>
      <c r="AW26" s="6">
        <v>35.132440000000003</v>
      </c>
      <c r="AX26" s="6">
        <v>10.72259</v>
      </c>
    </row>
    <row r="27" spans="1:50" ht="15.75" thickBot="1" x14ac:dyDescent="0.3">
      <c r="A27" s="3">
        <f>database!A27</f>
        <v>41790</v>
      </c>
      <c r="B27" s="3" t="str">
        <f>database!B27</f>
        <v>Newspoll</v>
      </c>
      <c r="C27">
        <f>database!C27</f>
        <v>1274</v>
      </c>
      <c r="D27">
        <f>database!D27</f>
        <v>1</v>
      </c>
      <c r="E27">
        <f>database!E27</f>
        <v>1274</v>
      </c>
      <c r="F27">
        <f>database!F27</f>
        <v>56.30898287312128</v>
      </c>
      <c r="G27">
        <f>database!G27</f>
        <v>43.69101712687872</v>
      </c>
      <c r="H27">
        <f>database!H27</f>
        <v>43</v>
      </c>
      <c r="I27">
        <f>database!I27</f>
        <v>31</v>
      </c>
      <c r="J27">
        <f>database!J27</f>
        <v>13</v>
      </c>
      <c r="K27">
        <f>database!K27</f>
        <v>13</v>
      </c>
      <c r="M27" s="11">
        <f t="shared" si="36"/>
        <v>43.539079999999998</v>
      </c>
      <c r="N27" s="11">
        <f t="shared" si="36"/>
        <v>32.716090000000001</v>
      </c>
      <c r="O27" s="11">
        <f t="shared" si="36"/>
        <v>11.57901</v>
      </c>
      <c r="Q27" t="str">
        <f t="shared" si="16"/>
        <v/>
      </c>
      <c r="R27" t="str">
        <f t="shared" si="17"/>
        <v/>
      </c>
      <c r="S27" t="str">
        <f t="shared" si="18"/>
        <v/>
      </c>
      <c r="U27" t="str">
        <f t="shared" si="19"/>
        <v/>
      </c>
      <c r="V27" t="str">
        <f t="shared" si="20"/>
        <v/>
      </c>
      <c r="W27" t="str">
        <f t="shared" si="21"/>
        <v/>
      </c>
      <c r="Y27" t="str">
        <f t="shared" si="22"/>
        <v/>
      </c>
      <c r="Z27" t="str">
        <f t="shared" si="23"/>
        <v/>
      </c>
      <c r="AA27" t="str">
        <f t="shared" si="24"/>
        <v/>
      </c>
      <c r="AC27" t="str">
        <f t="shared" si="25"/>
        <v/>
      </c>
      <c r="AD27" t="str">
        <f t="shared" si="26"/>
        <v/>
      </c>
      <c r="AE27" t="str">
        <f t="shared" si="27"/>
        <v/>
      </c>
      <c r="AG27" t="str">
        <f t="shared" si="13"/>
        <v/>
      </c>
      <c r="AH27" t="str">
        <f t="shared" si="14"/>
        <v/>
      </c>
      <c r="AI27" t="str">
        <f t="shared" si="15"/>
        <v/>
      </c>
      <c r="AT27" s="5">
        <v>42056</v>
      </c>
      <c r="AU27" s="2" t="s">
        <v>15</v>
      </c>
      <c r="AV27" s="6">
        <v>44.11777</v>
      </c>
      <c r="AW27" s="6">
        <v>35.150829999999999</v>
      </c>
      <c r="AX27" s="6">
        <v>10.710739999999999</v>
      </c>
    </row>
    <row r="28" spans="1:50" x14ac:dyDescent="0.25">
      <c r="A28" s="3">
        <f>database!A28</f>
        <v>41860</v>
      </c>
      <c r="B28" s="3" t="str">
        <f>database!B28</f>
        <v>Newspoll</v>
      </c>
      <c r="C28">
        <f>database!C28</f>
        <v>1285</v>
      </c>
      <c r="D28">
        <f>database!D28</f>
        <v>1</v>
      </c>
      <c r="E28">
        <f>database!E28</f>
        <v>1285</v>
      </c>
      <c r="F28">
        <f>database!F28</f>
        <v>53.442815249266864</v>
      </c>
      <c r="G28">
        <f>database!G28</f>
        <v>46.557184750733136</v>
      </c>
      <c r="H28">
        <f>database!H28</f>
        <v>40</v>
      </c>
      <c r="I28">
        <f>database!I28</f>
        <v>33</v>
      </c>
      <c r="J28">
        <f>database!J28</f>
        <v>13</v>
      </c>
      <c r="K28">
        <f>database!K28</f>
        <v>14</v>
      </c>
      <c r="M28" s="11">
        <f t="shared" si="36"/>
        <v>42.856679999999997</v>
      </c>
      <c r="N28" s="11">
        <f t="shared" si="36"/>
        <v>33.354610000000001</v>
      </c>
      <c r="O28" s="11">
        <f t="shared" si="36"/>
        <v>12.061389999999999</v>
      </c>
      <c r="Q28" t="str">
        <f t="shared" si="16"/>
        <v/>
      </c>
      <c r="R28" t="str">
        <f t="shared" si="17"/>
        <v/>
      </c>
      <c r="S28" t="str">
        <f t="shared" si="18"/>
        <v/>
      </c>
      <c r="U28" t="str">
        <f t="shared" si="19"/>
        <v/>
      </c>
      <c r="V28" t="str">
        <f t="shared" si="20"/>
        <v/>
      </c>
      <c r="W28" t="str">
        <f t="shared" si="21"/>
        <v/>
      </c>
      <c r="Y28" t="str">
        <f t="shared" si="22"/>
        <v/>
      </c>
      <c r="Z28" t="str">
        <f t="shared" si="23"/>
        <v/>
      </c>
      <c r="AA28" t="str">
        <f t="shared" si="24"/>
        <v/>
      </c>
      <c r="AC28" t="str">
        <f t="shared" si="25"/>
        <v/>
      </c>
      <c r="AD28" t="str">
        <f t="shared" si="26"/>
        <v/>
      </c>
      <c r="AE28" t="str">
        <f t="shared" si="27"/>
        <v/>
      </c>
      <c r="AG28" t="str">
        <f t="shared" si="13"/>
        <v/>
      </c>
      <c r="AH28" t="str">
        <f t="shared" si="14"/>
        <v/>
      </c>
      <c r="AI28" t="str">
        <f t="shared" si="15"/>
        <v/>
      </c>
      <c r="AT28" s="5">
        <v>42060</v>
      </c>
      <c r="AU28" s="2" t="s">
        <v>1</v>
      </c>
      <c r="AV28" s="6">
        <v>44.111269999999998</v>
      </c>
      <c r="AW28" s="6">
        <v>35.187609999999999</v>
      </c>
      <c r="AX28" s="6">
        <v>10.689870000000001</v>
      </c>
    </row>
    <row r="29" spans="1:50" ht="15.75" thickBot="1" x14ac:dyDescent="0.3">
      <c r="A29" s="3">
        <f>database!A29</f>
        <v>41868</v>
      </c>
      <c r="B29" s="3" t="str">
        <f>database!B29</f>
        <v>Essential</v>
      </c>
      <c r="C29">
        <f>database!C29</f>
        <v>1234</v>
      </c>
      <c r="D29">
        <f>database!D29</f>
        <v>0.4</v>
      </c>
      <c r="E29">
        <f>database!E29</f>
        <v>493.6</v>
      </c>
      <c r="F29">
        <f>database!F29</f>
        <v>55.206110299898903</v>
      </c>
      <c r="G29">
        <f>database!G29</f>
        <v>44.793889700101097</v>
      </c>
      <c r="H29">
        <f>database!H29</f>
        <v>45</v>
      </c>
      <c r="I29">
        <f>database!I29</f>
        <v>35</v>
      </c>
      <c r="J29">
        <f>database!J29</f>
        <v>9</v>
      </c>
      <c r="K29">
        <f>database!K29</f>
        <v>11</v>
      </c>
      <c r="M29" s="52">
        <f>M28+((M30-M28)*(($A29-$A28)/($A30-$A28)))</f>
        <v>42.898553333333332</v>
      </c>
      <c r="N29" s="52">
        <f>N28+((N30-N28)*(($A29-$A28)/($A30-$A28)))</f>
        <v>33.427583333333331</v>
      </c>
      <c r="O29" s="52">
        <f>O28+((O30-O28)*(($A29-$A28)/($A30-$A28)))</f>
        <v>12.032963333333333</v>
      </c>
      <c r="Q29">
        <f t="shared" si="16"/>
        <v>-2.1014466666666678</v>
      </c>
      <c r="R29">
        <f t="shared" si="17"/>
        <v>-1.572416666666669</v>
      </c>
      <c r="S29">
        <f t="shared" si="18"/>
        <v>3.032963333333333</v>
      </c>
      <c r="U29" t="str">
        <f t="shared" si="19"/>
        <v/>
      </c>
      <c r="V29" t="str">
        <f t="shared" si="20"/>
        <v/>
      </c>
      <c r="W29" t="str">
        <f t="shared" si="21"/>
        <v/>
      </c>
      <c r="Y29" t="str">
        <f t="shared" si="22"/>
        <v/>
      </c>
      <c r="Z29" t="str">
        <f t="shared" si="23"/>
        <v/>
      </c>
      <c r="AA29" t="str">
        <f t="shared" si="24"/>
        <v/>
      </c>
      <c r="AC29" t="str">
        <f t="shared" si="25"/>
        <v/>
      </c>
      <c r="AD29" t="str">
        <f t="shared" si="26"/>
        <v/>
      </c>
      <c r="AE29" t="str">
        <f t="shared" si="27"/>
        <v/>
      </c>
      <c r="AG29" t="str">
        <f t="shared" si="13"/>
        <v/>
      </c>
      <c r="AH29" t="str">
        <f t="shared" si="14"/>
        <v/>
      </c>
      <c r="AI29" t="str">
        <f t="shared" si="15"/>
        <v/>
      </c>
      <c r="AT29" s="5">
        <v>42075</v>
      </c>
      <c r="AU29" s="2" t="s">
        <v>2</v>
      </c>
      <c r="AV29" s="6">
        <v>44.086910000000003</v>
      </c>
      <c r="AW29" s="6">
        <v>35.325519999999997</v>
      </c>
      <c r="AX29" s="6">
        <v>10.61159</v>
      </c>
    </row>
    <row r="30" spans="1:50" x14ac:dyDescent="0.25">
      <c r="A30" s="3">
        <f>database!A30</f>
        <v>41872</v>
      </c>
      <c r="B30" s="3" t="str">
        <f>database!B30</f>
        <v>Galaxy</v>
      </c>
      <c r="C30">
        <f>database!C30</f>
        <v>899</v>
      </c>
      <c r="D30">
        <f>database!D30</f>
        <v>1.1000000000000001</v>
      </c>
      <c r="E30">
        <f>database!E30</f>
        <v>988.90000000000009</v>
      </c>
      <c r="F30">
        <f>database!F30</f>
        <v>55.007289447123476</v>
      </c>
      <c r="G30">
        <f>database!G30</f>
        <v>44.992710552876524</v>
      </c>
      <c r="H30">
        <f>database!H30</f>
        <v>45</v>
      </c>
      <c r="I30">
        <f>database!I30</f>
        <v>35</v>
      </c>
      <c r="J30">
        <f>database!J30</f>
        <v>11</v>
      </c>
      <c r="K30">
        <f>database!K30</f>
        <v>9</v>
      </c>
      <c r="M30" s="11">
        <f>INDEX(AV$3:AV$31,MATCH($A30,$AT$3:$AT$31,0))</f>
        <v>42.919490000000003</v>
      </c>
      <c r="N30" s="11">
        <f>INDEX(AW$3:AW$31,MATCH($A30,$AT$3:$AT$31,0))</f>
        <v>33.46407</v>
      </c>
      <c r="O30" s="11">
        <f>INDEX(AX$3:AX$31,MATCH($A30,$AT$3:$AT$31,0))</f>
        <v>12.018750000000001</v>
      </c>
      <c r="Q30" t="str">
        <f t="shared" si="16"/>
        <v/>
      </c>
      <c r="R30" t="str">
        <f t="shared" si="17"/>
        <v/>
      </c>
      <c r="S30" t="str">
        <f t="shared" si="18"/>
        <v/>
      </c>
      <c r="U30" t="str">
        <f t="shared" si="19"/>
        <v/>
      </c>
      <c r="V30" t="str">
        <f t="shared" si="20"/>
        <v/>
      </c>
      <c r="W30" t="str">
        <f t="shared" si="21"/>
        <v/>
      </c>
      <c r="Y30" t="str">
        <f t="shared" si="22"/>
        <v/>
      </c>
      <c r="Z30" t="str">
        <f t="shared" si="23"/>
        <v/>
      </c>
      <c r="AA30" t="str">
        <f t="shared" si="24"/>
        <v/>
      </c>
      <c r="AC30" t="str">
        <f t="shared" si="25"/>
        <v/>
      </c>
      <c r="AD30" t="str">
        <f t="shared" si="26"/>
        <v/>
      </c>
      <c r="AE30" t="str">
        <f t="shared" si="27"/>
        <v/>
      </c>
      <c r="AG30" t="str">
        <f t="shared" si="13"/>
        <v/>
      </c>
      <c r="AH30" t="str">
        <f t="shared" si="14"/>
        <v/>
      </c>
      <c r="AI30" t="str">
        <f t="shared" si="15"/>
        <v/>
      </c>
      <c r="AT30" s="5">
        <v>42082</v>
      </c>
      <c r="AU30" s="2" t="s">
        <v>2</v>
      </c>
      <c r="AV30" s="6">
        <v>44.084679999999999</v>
      </c>
      <c r="AW30" s="6">
        <v>35.389890000000001</v>
      </c>
      <c r="AX30" s="6">
        <v>10.57769</v>
      </c>
    </row>
    <row r="31" spans="1:50" x14ac:dyDescent="0.25">
      <c r="A31" s="3">
        <f>database!A31</f>
        <v>41903</v>
      </c>
      <c r="B31" s="3" t="str">
        <f>database!B31</f>
        <v>Essential</v>
      </c>
      <c r="C31">
        <f>database!C31</f>
        <v>1476</v>
      </c>
      <c r="D31">
        <f>database!D31</f>
        <v>0.4</v>
      </c>
      <c r="E31">
        <f>database!E31</f>
        <v>590.4</v>
      </c>
      <c r="F31">
        <f>database!F31</f>
        <v>54.181654676258994</v>
      </c>
      <c r="G31">
        <f>database!G31</f>
        <v>45.818345323741006</v>
      </c>
      <c r="H31">
        <f>database!H31</f>
        <v>44</v>
      </c>
      <c r="I31">
        <f>database!I31</f>
        <v>36</v>
      </c>
      <c r="J31">
        <f>database!J31</f>
        <v>8</v>
      </c>
      <c r="K31">
        <f>database!K31</f>
        <v>12</v>
      </c>
      <c r="M31" s="52">
        <f>M30+((M$33-M30)*(($A31-$A30)/($A$33-$A30)))</f>
        <v>43.081739772727275</v>
      </c>
      <c r="N31" s="52">
        <f t="shared" ref="N31:O31" si="37">N30+((N$33-N30)*(($A31-$A30)/($A$33-$A30)))</f>
        <v>33.74683931818182</v>
      </c>
      <c r="O31" s="52">
        <f t="shared" si="37"/>
        <v>11.908594318181818</v>
      </c>
      <c r="Q31">
        <f t="shared" si="16"/>
        <v>-0.91826022727272516</v>
      </c>
      <c r="R31">
        <f t="shared" si="17"/>
        <v>-2.25316068181818</v>
      </c>
      <c r="S31">
        <f t="shared" si="18"/>
        <v>3.9085943181818177</v>
      </c>
      <c r="U31" t="str">
        <f t="shared" si="19"/>
        <v/>
      </c>
      <c r="V31" t="str">
        <f t="shared" si="20"/>
        <v/>
      </c>
      <c r="W31" t="str">
        <f t="shared" si="21"/>
        <v/>
      </c>
      <c r="Y31" t="str">
        <f t="shared" si="22"/>
        <v/>
      </c>
      <c r="Z31" t="str">
        <f t="shared" si="23"/>
        <v/>
      </c>
      <c r="AA31" t="str">
        <f t="shared" si="24"/>
        <v/>
      </c>
      <c r="AC31" t="str">
        <f t="shared" si="25"/>
        <v/>
      </c>
      <c r="AD31" t="str">
        <f t="shared" si="26"/>
        <v/>
      </c>
      <c r="AE31" t="str">
        <f t="shared" si="27"/>
        <v/>
      </c>
      <c r="AG31" t="str">
        <f t="shared" si="13"/>
        <v/>
      </c>
      <c r="AH31" t="str">
        <f t="shared" si="14"/>
        <v/>
      </c>
      <c r="AI31" t="str">
        <f t="shared" si="15"/>
        <v/>
      </c>
      <c r="AT31" s="5">
        <v>42088</v>
      </c>
      <c r="AU31" t="s">
        <v>2</v>
      </c>
      <c r="AV31">
        <v>44.082769999999996</v>
      </c>
      <c r="AW31">
        <v>35.445059999999998</v>
      </c>
      <c r="AX31">
        <v>10.548640000000001</v>
      </c>
    </row>
    <row r="32" spans="1:50" ht="15.75" thickBot="1" x14ac:dyDescent="0.3">
      <c r="A32" s="3">
        <f>database!A32</f>
        <v>41910</v>
      </c>
      <c r="B32" s="3" t="str">
        <f>database!B32</f>
        <v>Morgan SMS</v>
      </c>
      <c r="C32">
        <f>database!C32</f>
        <v>1816</v>
      </c>
      <c r="D32">
        <f>database!D32</f>
        <v>0.4</v>
      </c>
      <c r="E32">
        <f>database!E32</f>
        <v>726.40000000000009</v>
      </c>
      <c r="F32">
        <f>database!F32</f>
        <v>56.970691411112362</v>
      </c>
      <c r="G32">
        <f>database!G32</f>
        <v>43.029308588887638</v>
      </c>
      <c r="H32">
        <f>database!H32</f>
        <v>46</v>
      </c>
      <c r="I32">
        <f>database!I32</f>
        <v>32.5</v>
      </c>
      <c r="J32">
        <f>database!J32</f>
        <v>12</v>
      </c>
      <c r="K32">
        <f>database!K32</f>
        <v>9.5</v>
      </c>
      <c r="M32" s="52">
        <f>M30+((M$33-M30)*(($A32-$A30)/($A$33-$A30)))</f>
        <v>43.118376818181815</v>
      </c>
      <c r="N32" s="52">
        <f t="shared" ref="N32:O32" si="38">N30+((N$33-N30)*(($A32-$A30)/($A$33-$A30)))</f>
        <v>33.810690454545451</v>
      </c>
      <c r="O32" s="52">
        <f t="shared" si="38"/>
        <v>11.883720454545454</v>
      </c>
      <c r="Q32" t="str">
        <f t="shared" si="16"/>
        <v/>
      </c>
      <c r="R32" t="str">
        <f t="shared" si="17"/>
        <v/>
      </c>
      <c r="S32" t="str">
        <f t="shared" si="18"/>
        <v/>
      </c>
      <c r="U32">
        <f t="shared" si="19"/>
        <v>-2.8816231818181848</v>
      </c>
      <c r="V32">
        <f t="shared" si="20"/>
        <v>1.3106904545454512</v>
      </c>
      <c r="W32">
        <f t="shared" si="21"/>
        <v>-0.116279545454546</v>
      </c>
      <c r="Y32" t="str">
        <f t="shared" si="22"/>
        <v/>
      </c>
      <c r="Z32" t="str">
        <f t="shared" si="23"/>
        <v/>
      </c>
      <c r="AA32" t="str">
        <f t="shared" si="24"/>
        <v/>
      </c>
      <c r="AC32" t="str">
        <f t="shared" si="25"/>
        <v/>
      </c>
      <c r="AD32" t="str">
        <f t="shared" si="26"/>
        <v/>
      </c>
      <c r="AE32" t="str">
        <f t="shared" si="27"/>
        <v/>
      </c>
      <c r="AG32" t="str">
        <f t="shared" si="13"/>
        <v/>
      </c>
      <c r="AH32" t="str">
        <f t="shared" si="14"/>
        <v/>
      </c>
      <c r="AI32" t="str">
        <f t="shared" si="15"/>
        <v/>
      </c>
      <c r="AT32" s="5">
        <v>42088</v>
      </c>
      <c r="AU32" t="s">
        <v>1</v>
      </c>
      <c r="AV32">
        <v>44.082769999999996</v>
      </c>
      <c r="AW32">
        <v>35.445059999999998</v>
      </c>
      <c r="AX32">
        <v>10.548640000000001</v>
      </c>
    </row>
    <row r="33" spans="1:44" x14ac:dyDescent="0.25">
      <c r="A33" s="3">
        <f>database!A33</f>
        <v>41916</v>
      </c>
      <c r="B33" s="3" t="str">
        <f>database!B33</f>
        <v>Newspoll</v>
      </c>
      <c r="C33">
        <f>database!C33</f>
        <v>1283</v>
      </c>
      <c r="D33">
        <f>database!D33</f>
        <v>1</v>
      </c>
      <c r="E33">
        <f>database!E33</f>
        <v>1283</v>
      </c>
      <c r="F33">
        <f>database!F33</f>
        <v>54.507580141187361</v>
      </c>
      <c r="G33">
        <f>database!G33</f>
        <v>45.492419858812639</v>
      </c>
      <c r="H33">
        <f>database!H33</f>
        <v>42</v>
      </c>
      <c r="I33">
        <f>database!I33</f>
        <v>33</v>
      </c>
      <c r="J33">
        <f>database!J33</f>
        <v>13</v>
      </c>
      <c r="K33">
        <f>database!K33</f>
        <v>12</v>
      </c>
      <c r="M33" s="11">
        <f>INDEX(AV$3:AV$31,MATCH($A33,$AT$3:$AT$31,0))</f>
        <v>43.14978</v>
      </c>
      <c r="N33" s="11">
        <f>INDEX(AW$3:AW$31,MATCH($A33,$AT$3:$AT$31,0))</f>
        <v>33.86542</v>
      </c>
      <c r="O33" s="11">
        <f>INDEX(AX$3:AX$31,MATCH($A33,$AT$3:$AT$31,0))</f>
        <v>11.862399999999999</v>
      </c>
      <c r="Q33" t="str">
        <f t="shared" si="16"/>
        <v/>
      </c>
      <c r="R33" t="str">
        <f t="shared" si="17"/>
        <v/>
      </c>
      <c r="S33" t="str">
        <f t="shared" si="18"/>
        <v/>
      </c>
      <c r="U33" t="str">
        <f t="shared" si="19"/>
        <v/>
      </c>
      <c r="V33" t="str">
        <f t="shared" si="20"/>
        <v/>
      </c>
      <c r="W33" t="str">
        <f t="shared" si="21"/>
        <v/>
      </c>
      <c r="Y33" t="str">
        <f t="shared" si="22"/>
        <v/>
      </c>
      <c r="Z33" t="str">
        <f t="shared" si="23"/>
        <v/>
      </c>
      <c r="AA33" t="str">
        <f t="shared" si="24"/>
        <v/>
      </c>
      <c r="AC33" t="str">
        <f t="shared" si="25"/>
        <v/>
      </c>
      <c r="AD33" t="str">
        <f t="shared" si="26"/>
        <v/>
      </c>
      <c r="AE33" t="str">
        <f t="shared" si="27"/>
        <v/>
      </c>
      <c r="AG33" t="str">
        <f t="shared" si="13"/>
        <v/>
      </c>
      <c r="AH33" t="str">
        <f t="shared" si="14"/>
        <v/>
      </c>
      <c r="AI33" t="str">
        <f t="shared" si="15"/>
        <v/>
      </c>
    </row>
    <row r="34" spans="1:44" x14ac:dyDescent="0.25">
      <c r="A34" s="3">
        <f>database!A34</f>
        <v>41931</v>
      </c>
      <c r="B34" s="3" t="str">
        <f>database!B34</f>
        <v>Essential</v>
      </c>
      <c r="C34">
        <f>database!C34</f>
        <v>1196</v>
      </c>
      <c r="D34">
        <f>database!D34</f>
        <v>0.4</v>
      </c>
      <c r="E34">
        <f>database!E34</f>
        <v>478.40000000000003</v>
      </c>
      <c r="F34">
        <f>database!F34</f>
        <v>55.193075898801602</v>
      </c>
      <c r="G34">
        <f>database!G34</f>
        <v>44.806924101198398</v>
      </c>
      <c r="H34">
        <f>database!H34</f>
        <v>46</v>
      </c>
      <c r="I34">
        <f>database!I34</f>
        <v>36</v>
      </c>
      <c r="J34">
        <f>database!J34</f>
        <v>8</v>
      </c>
      <c r="K34">
        <f>database!K34</f>
        <v>10</v>
      </c>
      <c r="M34" s="52">
        <f>M33+((M$39-M33)*(($A34-$A33)/($A$39-$A33)))</f>
        <v>43.388537142857139</v>
      </c>
      <c r="N34" s="52">
        <f t="shared" ref="N34:O34" si="39">N33+((N$39-N33)*(($A34-$A33)/($A$39-$A33)))</f>
        <v>34.003090535714286</v>
      </c>
      <c r="O34" s="52">
        <f t="shared" si="39"/>
        <v>11.744052678571428</v>
      </c>
      <c r="Q34">
        <f t="shared" si="16"/>
        <v>-2.6114628571428611</v>
      </c>
      <c r="R34">
        <f t="shared" si="17"/>
        <v>-1.9969094642857144</v>
      </c>
      <c r="S34">
        <f t="shared" si="18"/>
        <v>3.7440526785714283</v>
      </c>
      <c r="U34" t="str">
        <f t="shared" si="19"/>
        <v/>
      </c>
      <c r="V34" t="str">
        <f t="shared" si="20"/>
        <v/>
      </c>
      <c r="W34" t="str">
        <f t="shared" si="21"/>
        <v/>
      </c>
      <c r="Y34" t="str">
        <f t="shared" si="22"/>
        <v/>
      </c>
      <c r="Z34" t="str">
        <f t="shared" si="23"/>
        <v/>
      </c>
      <c r="AA34" t="str">
        <f t="shared" si="24"/>
        <v/>
      </c>
      <c r="AC34" t="str">
        <f t="shared" si="25"/>
        <v/>
      </c>
      <c r="AD34" t="str">
        <f t="shared" si="26"/>
        <v/>
      </c>
      <c r="AE34" t="str">
        <f t="shared" si="27"/>
        <v/>
      </c>
      <c r="AG34" t="str">
        <f t="shared" si="13"/>
        <v/>
      </c>
      <c r="AH34" t="str">
        <f t="shared" si="14"/>
        <v/>
      </c>
      <c r="AI34" t="str">
        <f t="shared" si="15"/>
        <v/>
      </c>
    </row>
    <row r="35" spans="1:44" x14ac:dyDescent="0.25">
      <c r="A35" s="3">
        <f>database!A35</f>
        <v>41938</v>
      </c>
      <c r="B35" s="3" t="str">
        <f>database!B35</f>
        <v>Morgan SMS</v>
      </c>
      <c r="C35">
        <f>database!C35</f>
        <v>1860</v>
      </c>
      <c r="D35">
        <f>database!D35</f>
        <v>0.4</v>
      </c>
      <c r="E35">
        <f>database!E35</f>
        <v>744</v>
      </c>
      <c r="F35">
        <f>database!F35</f>
        <v>56.178829864811796</v>
      </c>
      <c r="G35">
        <f>database!G35</f>
        <v>43.821170135188204</v>
      </c>
      <c r="H35">
        <f>database!H35</f>
        <v>46</v>
      </c>
      <c r="I35">
        <f>database!I35</f>
        <v>34</v>
      </c>
      <c r="J35">
        <f>database!J35</f>
        <v>10.5</v>
      </c>
      <c r="K35">
        <f>database!K35</f>
        <v>9.5</v>
      </c>
      <c r="M35" s="52">
        <f>M33+((M$39-M33)*(($A35-$A33)/($A$39-$A33)))</f>
        <v>43.499957142857141</v>
      </c>
      <c r="N35" s="52">
        <f t="shared" ref="N35:O35" si="40">N33+((N$39-N33)*(($A35-$A33)/($A$39-$A33)))</f>
        <v>34.067336785714289</v>
      </c>
      <c r="O35" s="52">
        <f t="shared" si="40"/>
        <v>11.688823928571427</v>
      </c>
      <c r="Q35" t="str">
        <f t="shared" si="16"/>
        <v/>
      </c>
      <c r="R35" t="str">
        <f t="shared" si="17"/>
        <v/>
      </c>
      <c r="S35" t="str">
        <f t="shared" si="18"/>
        <v/>
      </c>
      <c r="U35">
        <f t="shared" si="19"/>
        <v>-2.5000428571428586</v>
      </c>
      <c r="V35">
        <f t="shared" si="20"/>
        <v>6.7336785714289249E-2</v>
      </c>
      <c r="W35">
        <f t="shared" si="21"/>
        <v>1.188823928571427</v>
      </c>
      <c r="Y35" t="str">
        <f t="shared" si="22"/>
        <v/>
      </c>
      <c r="Z35" t="str">
        <f t="shared" si="23"/>
        <v/>
      </c>
      <c r="AA35" t="str">
        <f t="shared" si="24"/>
        <v/>
      </c>
      <c r="AC35" t="str">
        <f t="shared" si="25"/>
        <v/>
      </c>
      <c r="AD35" t="str">
        <f t="shared" si="26"/>
        <v/>
      </c>
      <c r="AE35" t="str">
        <f t="shared" si="27"/>
        <v/>
      </c>
      <c r="AG35" t="str">
        <f t="shared" si="13"/>
        <v/>
      </c>
      <c r="AH35" t="str">
        <f t="shared" si="14"/>
        <v/>
      </c>
      <c r="AI35" t="str">
        <f t="shared" si="15"/>
        <v/>
      </c>
    </row>
    <row r="36" spans="1:44" x14ac:dyDescent="0.25">
      <c r="A36" s="3">
        <f>database!A36</f>
        <v>41963</v>
      </c>
      <c r="B36" s="3" t="str">
        <f>database!B36</f>
        <v>Galaxy</v>
      </c>
      <c r="C36">
        <f>database!C36</f>
        <v>938</v>
      </c>
      <c r="D36">
        <f>database!D36</f>
        <v>1.1000000000000001</v>
      </c>
      <c r="E36">
        <f>database!E36</f>
        <v>1031.8000000000002</v>
      </c>
      <c r="F36">
        <f>database!F36</f>
        <v>56.128742850734561</v>
      </c>
      <c r="G36">
        <f>database!G36</f>
        <v>43.871257149265439</v>
      </c>
      <c r="H36">
        <f>database!H36</f>
        <v>46</v>
      </c>
      <c r="I36">
        <f>database!I36</f>
        <v>34</v>
      </c>
      <c r="J36">
        <f>database!J36</f>
        <v>11</v>
      </c>
      <c r="K36">
        <f>database!K36</f>
        <v>9</v>
      </c>
      <c r="M36" s="52">
        <f>M33+((M$39-M33)*(($A36-$A33)/($A$39-$A33)))</f>
        <v>43.897885714285714</v>
      </c>
      <c r="N36" s="52">
        <f t="shared" ref="N36:O36" si="41">N33+((N$39-N33)*(($A36-$A33)/($A$39-$A33)))</f>
        <v>34.296787678571427</v>
      </c>
      <c r="O36" s="52">
        <f t="shared" si="41"/>
        <v>11.491578392857143</v>
      </c>
      <c r="Q36" t="str">
        <f t="shared" si="16"/>
        <v/>
      </c>
      <c r="R36" t="str">
        <f t="shared" si="17"/>
        <v/>
      </c>
      <c r="S36" t="str">
        <f t="shared" si="18"/>
        <v/>
      </c>
      <c r="U36" t="str">
        <f t="shared" si="19"/>
        <v/>
      </c>
      <c r="V36" t="str">
        <f t="shared" si="20"/>
        <v/>
      </c>
      <c r="W36" t="str">
        <f t="shared" si="21"/>
        <v/>
      </c>
      <c r="Y36" t="str">
        <f t="shared" si="22"/>
        <v/>
      </c>
      <c r="Z36" t="str">
        <f t="shared" si="23"/>
        <v/>
      </c>
      <c r="AA36" t="str">
        <f t="shared" si="24"/>
        <v/>
      </c>
      <c r="AC36" t="str">
        <f t="shared" si="25"/>
        <v/>
      </c>
      <c r="AD36" t="str">
        <f t="shared" si="26"/>
        <v/>
      </c>
      <c r="AE36" t="str">
        <f t="shared" si="27"/>
        <v/>
      </c>
      <c r="AG36" t="str">
        <f t="shared" si="13"/>
        <v/>
      </c>
      <c r="AH36" t="str">
        <f t="shared" si="14"/>
        <v/>
      </c>
      <c r="AI36" t="str">
        <f t="shared" si="15"/>
        <v/>
      </c>
    </row>
    <row r="37" spans="1:44" x14ac:dyDescent="0.25">
      <c r="A37" s="3">
        <f>database!A37</f>
        <v>41964</v>
      </c>
      <c r="B37" s="3" t="str">
        <f>database!B37</f>
        <v>Ipsos</v>
      </c>
      <c r="C37">
        <f>database!C37</f>
        <v>1002</v>
      </c>
      <c r="D37">
        <f>database!D37</f>
        <v>0.4</v>
      </c>
      <c r="E37">
        <f>database!E37</f>
        <v>400.8</v>
      </c>
      <c r="F37">
        <f>database!F37</f>
        <v>53.885836043512391</v>
      </c>
      <c r="G37">
        <f>database!G37</f>
        <v>46.114163956487609</v>
      </c>
      <c r="H37">
        <f>database!H37</f>
        <v>44</v>
      </c>
      <c r="I37">
        <f>database!I37</f>
        <v>36</v>
      </c>
      <c r="J37">
        <f>database!J37</f>
        <v>11</v>
      </c>
      <c r="K37">
        <f>database!K37</f>
        <v>9</v>
      </c>
      <c r="M37" s="52">
        <f>M33+((M$39-M33)*(($A37-$A33)/($A$39-$A33)))</f>
        <v>43.913802857142855</v>
      </c>
      <c r="N37" s="52">
        <f t="shared" ref="N37:O37" si="42">N33+((N$39-N33)*(($A37-$A33)/($A$39-$A33)))</f>
        <v>34.305965714285712</v>
      </c>
      <c r="O37" s="52">
        <f t="shared" si="42"/>
        <v>11.483688571428571</v>
      </c>
      <c r="Q37" t="str">
        <f t="shared" si="16"/>
        <v/>
      </c>
      <c r="R37" t="str">
        <f t="shared" si="17"/>
        <v/>
      </c>
      <c r="S37" t="str">
        <f t="shared" si="18"/>
        <v/>
      </c>
      <c r="U37" t="str">
        <f t="shared" si="19"/>
        <v/>
      </c>
      <c r="V37" t="str">
        <f t="shared" si="20"/>
        <v/>
      </c>
      <c r="W37" t="str">
        <f t="shared" si="21"/>
        <v/>
      </c>
      <c r="Y37">
        <f t="shared" si="22"/>
        <v>-8.6197142857145082E-2</v>
      </c>
      <c r="Z37">
        <f t="shared" si="23"/>
        <v>-1.694034285714288</v>
      </c>
      <c r="AA37">
        <f t="shared" si="24"/>
        <v>0.48368857142857102</v>
      </c>
      <c r="AC37" t="str">
        <f t="shared" si="25"/>
        <v/>
      </c>
      <c r="AD37" t="str">
        <f t="shared" si="26"/>
        <v/>
      </c>
      <c r="AE37" t="str">
        <f t="shared" si="27"/>
        <v/>
      </c>
      <c r="AG37" t="str">
        <f t="shared" si="13"/>
        <v/>
      </c>
      <c r="AH37" t="str">
        <f t="shared" si="14"/>
        <v/>
      </c>
      <c r="AI37" t="str">
        <f t="shared" si="15"/>
        <v/>
      </c>
    </row>
    <row r="38" spans="1:44" ht="15.75" thickBot="1" x14ac:dyDescent="0.3">
      <c r="A38" s="3">
        <f>database!A38</f>
        <v>41966</v>
      </c>
      <c r="B38" s="3" t="str">
        <f>database!B38</f>
        <v>Morgan SMS</v>
      </c>
      <c r="C38">
        <f>database!C38</f>
        <v>1253</v>
      </c>
      <c r="D38">
        <f>database!D38</f>
        <v>0.4</v>
      </c>
      <c r="E38">
        <f>database!E38</f>
        <v>501.20000000000005</v>
      </c>
      <c r="F38">
        <f>database!F38</f>
        <v>55.911513553785319</v>
      </c>
      <c r="G38">
        <f>database!G38</f>
        <v>44.088486446214681</v>
      </c>
      <c r="H38">
        <f>database!H38</f>
        <v>44</v>
      </c>
      <c r="I38">
        <f>database!I38</f>
        <v>32.5</v>
      </c>
      <c r="J38">
        <f>database!J38</f>
        <v>12.5</v>
      </c>
      <c r="K38">
        <f>database!K38</f>
        <v>11</v>
      </c>
      <c r="M38" s="52">
        <f>M33+((M$39-M33)*(($A38-$A33)/($A$39-$A33)))</f>
        <v>43.945637142857144</v>
      </c>
      <c r="N38" s="52">
        <f t="shared" ref="N38:O38" si="43">N33+((N$39-N33)*(($A38-$A33)/($A$39-$A33)))</f>
        <v>34.324321785714289</v>
      </c>
      <c r="O38" s="52">
        <f t="shared" si="43"/>
        <v>11.467908928571429</v>
      </c>
      <c r="Q38" t="str">
        <f t="shared" si="16"/>
        <v/>
      </c>
      <c r="R38" t="str">
        <f t="shared" si="17"/>
        <v/>
      </c>
      <c r="S38" t="str">
        <f t="shared" si="18"/>
        <v/>
      </c>
      <c r="U38">
        <f t="shared" si="19"/>
        <v>-5.4362857142855603E-2</v>
      </c>
      <c r="V38">
        <f t="shared" si="20"/>
        <v>1.8243217857142895</v>
      </c>
      <c r="W38">
        <f t="shared" si="21"/>
        <v>-1.0320910714285709</v>
      </c>
      <c r="Y38" t="str">
        <f t="shared" si="22"/>
        <v/>
      </c>
      <c r="Z38" t="str">
        <f t="shared" si="23"/>
        <v/>
      </c>
      <c r="AA38" t="str">
        <f t="shared" si="24"/>
        <v/>
      </c>
      <c r="AC38" t="str">
        <f t="shared" si="25"/>
        <v/>
      </c>
      <c r="AD38" t="str">
        <f t="shared" si="26"/>
        <v/>
      </c>
      <c r="AE38" t="str">
        <f t="shared" si="27"/>
        <v/>
      </c>
      <c r="AG38" t="str">
        <f t="shared" si="13"/>
        <v/>
      </c>
      <c r="AH38" t="str">
        <f t="shared" si="14"/>
        <v/>
      </c>
      <c r="AI38" t="str">
        <f t="shared" si="15"/>
        <v/>
      </c>
    </row>
    <row r="39" spans="1:44" ht="15.75" thickBot="1" x14ac:dyDescent="0.3">
      <c r="A39" s="3">
        <f>database!A39</f>
        <v>41972</v>
      </c>
      <c r="B39" s="3" t="str">
        <f>database!B39</f>
        <v>Newspoll</v>
      </c>
      <c r="C39">
        <f>database!C39</f>
        <v>1275</v>
      </c>
      <c r="D39">
        <f>database!D39</f>
        <v>1</v>
      </c>
      <c r="E39">
        <f>database!E39</f>
        <v>1275</v>
      </c>
      <c r="F39">
        <f>database!F39</f>
        <v>55.747455106942702</v>
      </c>
      <c r="G39">
        <f>database!G39</f>
        <v>44.252544893057298</v>
      </c>
      <c r="H39">
        <f>database!H39</f>
        <v>44</v>
      </c>
      <c r="I39">
        <f>database!I39</f>
        <v>33</v>
      </c>
      <c r="J39">
        <f>database!J39</f>
        <v>11</v>
      </c>
      <c r="K39">
        <f>database!K39</f>
        <v>12</v>
      </c>
      <c r="M39" s="11">
        <f t="shared" ref="M39:O40" si="44">INDEX(AV$3:AV$31,MATCH($A39,$AT$3:$AT$31,0))</f>
        <v>44.041139999999999</v>
      </c>
      <c r="N39" s="11">
        <f t="shared" si="44"/>
        <v>34.379390000000001</v>
      </c>
      <c r="O39" s="11">
        <f t="shared" si="44"/>
        <v>11.42057</v>
      </c>
      <c r="Q39" t="str">
        <f t="shared" si="16"/>
        <v/>
      </c>
      <c r="R39" t="str">
        <f t="shared" si="17"/>
        <v/>
      </c>
      <c r="S39" t="str">
        <f t="shared" si="18"/>
        <v/>
      </c>
      <c r="U39" t="str">
        <f t="shared" si="19"/>
        <v/>
      </c>
      <c r="V39" t="str">
        <f t="shared" si="20"/>
        <v/>
      </c>
      <c r="W39" t="str">
        <f t="shared" si="21"/>
        <v/>
      </c>
      <c r="Y39" t="str">
        <f t="shared" si="22"/>
        <v/>
      </c>
      <c r="Z39" t="str">
        <f t="shared" si="23"/>
        <v/>
      </c>
      <c r="AA39" t="str">
        <f t="shared" si="24"/>
        <v/>
      </c>
      <c r="AC39" t="str">
        <f t="shared" si="25"/>
        <v/>
      </c>
      <c r="AD39" t="str">
        <f t="shared" si="26"/>
        <v/>
      </c>
      <c r="AE39" t="str">
        <f t="shared" si="27"/>
        <v/>
      </c>
      <c r="AG39" t="str">
        <f t="shared" si="13"/>
        <v/>
      </c>
      <c r="AH39" t="str">
        <f t="shared" si="14"/>
        <v/>
      </c>
      <c r="AI39" t="str">
        <f t="shared" si="15"/>
        <v/>
      </c>
    </row>
    <row r="40" spans="1:44" x14ac:dyDescent="0.25">
      <c r="A40" s="3">
        <f>database!A40</f>
        <v>42011</v>
      </c>
      <c r="B40" s="3" t="str">
        <f>database!B40</f>
        <v>Galaxy</v>
      </c>
      <c r="C40">
        <f>database!C40</f>
        <v>832</v>
      </c>
      <c r="D40">
        <f>database!D40</f>
        <v>1.1000000000000001</v>
      </c>
      <c r="E40">
        <f>database!E40</f>
        <v>915.2</v>
      </c>
      <c r="F40">
        <f>database!F40</f>
        <v>53.885836043512391</v>
      </c>
      <c r="G40">
        <f>database!G40</f>
        <v>46.114163956487609</v>
      </c>
      <c r="H40">
        <f>database!H40</f>
        <v>44</v>
      </c>
      <c r="I40">
        <f>database!I40</f>
        <v>36</v>
      </c>
      <c r="J40">
        <f>database!J40</f>
        <v>11</v>
      </c>
      <c r="K40">
        <f>database!K40</f>
        <v>9</v>
      </c>
      <c r="M40" s="11">
        <f t="shared" si="44"/>
        <v>44.16028</v>
      </c>
      <c r="N40" s="11">
        <f t="shared" si="44"/>
        <v>34.737340000000003</v>
      </c>
      <c r="O40" s="11">
        <f t="shared" si="44"/>
        <v>11.036300000000001</v>
      </c>
      <c r="Q40" t="str">
        <f t="shared" si="16"/>
        <v/>
      </c>
      <c r="R40" t="str">
        <f t="shared" si="17"/>
        <v/>
      </c>
      <c r="S40" t="str">
        <f t="shared" si="18"/>
        <v/>
      </c>
      <c r="U40" t="str">
        <f t="shared" si="19"/>
        <v/>
      </c>
      <c r="V40" t="str">
        <f t="shared" si="20"/>
        <v/>
      </c>
      <c r="W40" t="str">
        <f t="shared" si="21"/>
        <v/>
      </c>
      <c r="Y40" t="str">
        <f t="shared" si="22"/>
        <v/>
      </c>
      <c r="Z40" t="str">
        <f t="shared" si="23"/>
        <v/>
      </c>
      <c r="AA40" t="str">
        <f t="shared" si="24"/>
        <v/>
      </c>
      <c r="AC40" t="str">
        <f t="shared" si="25"/>
        <v/>
      </c>
      <c r="AD40" t="str">
        <f t="shared" si="26"/>
        <v/>
      </c>
      <c r="AE40" t="str">
        <f t="shared" si="27"/>
        <v/>
      </c>
      <c r="AG40" t="str">
        <f t="shared" si="13"/>
        <v/>
      </c>
      <c r="AH40" t="str">
        <f t="shared" si="14"/>
        <v/>
      </c>
      <c r="AI40" t="str">
        <f t="shared" si="15"/>
        <v/>
      </c>
    </row>
    <row r="41" spans="1:44" x14ac:dyDescent="0.25">
      <c r="A41" s="3">
        <f>database!A41</f>
        <v>42021</v>
      </c>
      <c r="B41" s="3" t="str">
        <f>database!B41</f>
        <v>Morgan SMS</v>
      </c>
      <c r="C41">
        <f>database!C41</f>
        <v>1114</v>
      </c>
      <c r="D41">
        <f>database!D41</f>
        <v>0.4</v>
      </c>
      <c r="E41">
        <f>database!E41</f>
        <v>445.6</v>
      </c>
      <c r="F41">
        <f>database!F41</f>
        <v>50.999196049155856</v>
      </c>
      <c r="G41">
        <f>database!G41</f>
        <v>49.000803950844144</v>
      </c>
      <c r="H41">
        <f>database!H41</f>
        <v>39.5</v>
      </c>
      <c r="I41">
        <f>database!I41</f>
        <v>37</v>
      </c>
      <c r="J41">
        <f>database!J41</f>
        <v>10</v>
      </c>
      <c r="K41">
        <f>database!K41</f>
        <v>13.5</v>
      </c>
      <c r="M41" s="52">
        <f>M40+((M$45-M40)*(($A41-$A40)/($A$45-$A40)))</f>
        <v>44.151763720930234</v>
      </c>
      <c r="N41" s="52">
        <f t="shared" ref="N41:O41" si="45">N40+((N$45-N40)*(($A41-$A40)/($A$45-$A40)))</f>
        <v>34.829223720930237</v>
      </c>
      <c r="O41" s="52">
        <f t="shared" si="45"/>
        <v>10.963344186046513</v>
      </c>
      <c r="Q41" t="str">
        <f t="shared" si="16"/>
        <v/>
      </c>
      <c r="R41" t="str">
        <f t="shared" si="17"/>
        <v/>
      </c>
      <c r="S41" t="str">
        <f t="shared" si="18"/>
        <v/>
      </c>
      <c r="U41">
        <f t="shared" si="19"/>
        <v>4.6517637209302336</v>
      </c>
      <c r="V41">
        <f t="shared" si="20"/>
        <v>-2.1707762790697629</v>
      </c>
      <c r="W41">
        <f t="shared" si="21"/>
        <v>0.96334418604651262</v>
      </c>
      <c r="Y41" t="str">
        <f t="shared" si="22"/>
        <v/>
      </c>
      <c r="Z41" t="str">
        <f t="shared" si="23"/>
        <v/>
      </c>
      <c r="AA41" t="str">
        <f t="shared" si="24"/>
        <v/>
      </c>
      <c r="AC41" t="str">
        <f t="shared" si="25"/>
        <v/>
      </c>
      <c r="AD41" t="str">
        <f t="shared" si="26"/>
        <v/>
      </c>
      <c r="AE41" t="str">
        <f t="shared" si="27"/>
        <v/>
      </c>
      <c r="AG41" t="str">
        <f t="shared" si="13"/>
        <v/>
      </c>
      <c r="AH41" t="str">
        <f t="shared" si="14"/>
        <v/>
      </c>
      <c r="AI41" t="str">
        <f t="shared" si="15"/>
        <v/>
      </c>
    </row>
    <row r="42" spans="1:44" x14ac:dyDescent="0.25">
      <c r="A42" s="3">
        <f>database!A42</f>
        <v>42026</v>
      </c>
      <c r="B42" s="3" t="str">
        <f>database!B42</f>
        <v>Galaxy</v>
      </c>
      <c r="C42">
        <f>database!C42</f>
        <v>954</v>
      </c>
      <c r="D42">
        <f>database!D42</f>
        <v>1.1000000000000001</v>
      </c>
      <c r="E42">
        <f>database!E42</f>
        <v>1049.4000000000001</v>
      </c>
      <c r="F42">
        <f>database!F42</f>
        <v>54.395543175487468</v>
      </c>
      <c r="G42">
        <f>database!G42</f>
        <v>45.604456824512532</v>
      </c>
      <c r="H42">
        <f>database!H42</f>
        <v>45</v>
      </c>
      <c r="I42">
        <f>database!I42</f>
        <v>36</v>
      </c>
      <c r="J42">
        <f>database!J42</f>
        <v>11</v>
      </c>
      <c r="K42">
        <f>database!K42</f>
        <v>8</v>
      </c>
      <c r="M42" s="52">
        <f>M40+((M$45-M40)*(($A42-$A40)/($A$45-$A40)))</f>
        <v>44.14750558139535</v>
      </c>
      <c r="N42" s="52">
        <f t="shared" ref="N42:O42" si="46">N40+((N$45-N40)*(($A42-$A40)/($A$45-$A40)))</f>
        <v>34.875165581395351</v>
      </c>
      <c r="O42" s="52">
        <f t="shared" si="46"/>
        <v>10.926866279069769</v>
      </c>
      <c r="Q42" t="str">
        <f t="shared" si="16"/>
        <v/>
      </c>
      <c r="R42" t="str">
        <f t="shared" si="17"/>
        <v/>
      </c>
      <c r="S42" t="str">
        <f t="shared" si="18"/>
        <v/>
      </c>
      <c r="U42" t="str">
        <f t="shared" si="19"/>
        <v/>
      </c>
      <c r="V42" t="str">
        <f t="shared" si="20"/>
        <v/>
      </c>
      <c r="W42" t="str">
        <f t="shared" si="21"/>
        <v/>
      </c>
      <c r="Y42" t="str">
        <f t="shared" si="22"/>
        <v/>
      </c>
      <c r="Z42" t="str">
        <f t="shared" si="23"/>
        <v/>
      </c>
      <c r="AA42" t="str">
        <f t="shared" si="24"/>
        <v/>
      </c>
      <c r="AC42" t="str">
        <f t="shared" si="25"/>
        <v/>
      </c>
      <c r="AD42" t="str">
        <f t="shared" si="26"/>
        <v/>
      </c>
      <c r="AE42" t="str">
        <f t="shared" si="27"/>
        <v/>
      </c>
      <c r="AG42" t="str">
        <f t="shared" si="13"/>
        <v/>
      </c>
      <c r="AH42" t="str">
        <f t="shared" si="14"/>
        <v/>
      </c>
      <c r="AI42" t="str">
        <f t="shared" si="15"/>
        <v/>
      </c>
    </row>
    <row r="43" spans="1:44" x14ac:dyDescent="0.25">
      <c r="A43" s="3">
        <f>database!A43</f>
        <v>42041</v>
      </c>
      <c r="B43" s="3" t="str">
        <f>database!B43</f>
        <v>Ipsos</v>
      </c>
      <c r="C43">
        <f>database!C43</f>
        <v>1000</v>
      </c>
      <c r="D43">
        <f>database!D43</f>
        <v>0.4</v>
      </c>
      <c r="E43">
        <f>database!E43</f>
        <v>400</v>
      </c>
      <c r="F43">
        <f>database!F43</f>
        <v>56.028686687584042</v>
      </c>
      <c r="G43">
        <f>database!G43</f>
        <v>43.971313312415958</v>
      </c>
      <c r="H43">
        <f>database!H43</f>
        <v>46</v>
      </c>
      <c r="I43">
        <f>database!I43</f>
        <v>34</v>
      </c>
      <c r="J43">
        <f>database!J43</f>
        <v>12</v>
      </c>
      <c r="K43">
        <f>database!K43</f>
        <v>8</v>
      </c>
      <c r="M43" s="52">
        <f>M40+((M$45-M40)*(($A43-$A40)/($A$45-$A40)))</f>
        <v>44.1347311627907</v>
      </c>
      <c r="N43" s="52">
        <f t="shared" ref="N43:O43" si="47">N40+((N$45-N40)*(($A43-$A40)/($A$45-$A40)))</f>
        <v>35.012991162790698</v>
      </c>
      <c r="O43" s="52">
        <f t="shared" si="47"/>
        <v>10.817432558139535</v>
      </c>
      <c r="Q43" t="str">
        <f t="shared" si="16"/>
        <v/>
      </c>
      <c r="R43" t="str">
        <f t="shared" si="17"/>
        <v/>
      </c>
      <c r="S43" t="str">
        <f t="shared" si="18"/>
        <v/>
      </c>
      <c r="U43" t="str">
        <f t="shared" si="19"/>
        <v/>
      </c>
      <c r="V43" t="str">
        <f t="shared" si="20"/>
        <v/>
      </c>
      <c r="W43" t="str">
        <f t="shared" si="21"/>
        <v/>
      </c>
      <c r="Y43">
        <f t="shared" si="22"/>
        <v>-1.8652688372092996</v>
      </c>
      <c r="Z43">
        <f t="shared" si="23"/>
        <v>1.0129911627906978</v>
      </c>
      <c r="AA43">
        <f t="shared" si="24"/>
        <v>-1.1825674418604653</v>
      </c>
      <c r="AC43" t="str">
        <f t="shared" si="25"/>
        <v/>
      </c>
      <c r="AD43" t="str">
        <f t="shared" si="26"/>
        <v/>
      </c>
      <c r="AE43" t="str">
        <f t="shared" si="27"/>
        <v/>
      </c>
      <c r="AG43" t="str">
        <f t="shared" si="13"/>
        <v/>
      </c>
      <c r="AH43" t="str">
        <f t="shared" si="14"/>
        <v/>
      </c>
      <c r="AI43" t="str">
        <f t="shared" si="15"/>
        <v/>
      </c>
      <c r="AK43">
        <v>54</v>
      </c>
      <c r="AL43">
        <v>24</v>
      </c>
      <c r="AN43">
        <v>60</v>
      </c>
      <c r="AO43">
        <v>18</v>
      </c>
      <c r="AQ43">
        <v>30</v>
      </c>
      <c r="AR43">
        <v>21</v>
      </c>
    </row>
    <row r="44" spans="1:44" ht="15.75" thickBot="1" x14ac:dyDescent="0.3">
      <c r="A44" s="3">
        <f>database!A44</f>
        <v>42050</v>
      </c>
      <c r="B44" s="3" t="str">
        <f>database!B44</f>
        <v>Morgan SMS</v>
      </c>
      <c r="C44">
        <f>database!C44</f>
        <v>1203</v>
      </c>
      <c r="D44">
        <f>database!D44</f>
        <v>0.4</v>
      </c>
      <c r="E44">
        <f>database!E44</f>
        <v>481.20000000000005</v>
      </c>
      <c r="F44">
        <f>database!F44</f>
        <v>55.777815448946143</v>
      </c>
      <c r="G44">
        <f>database!G44</f>
        <v>44.222184551053857</v>
      </c>
      <c r="H44">
        <f>database!H44</f>
        <v>45</v>
      </c>
      <c r="I44">
        <f>database!I44</f>
        <v>34</v>
      </c>
      <c r="J44">
        <f>database!J44</f>
        <v>9.5</v>
      </c>
      <c r="K44">
        <f>database!K44</f>
        <v>11.5</v>
      </c>
      <c r="M44" s="52">
        <f>M40+((M$45-M40)*(($A44-$A40)/($A$45-$A40)))</f>
        <v>44.127066511627909</v>
      </c>
      <c r="N44" s="52">
        <f t="shared" ref="N44:O44" si="48">N40+((N$45-N40)*(($A44-$A40)/($A$45-$A40)))</f>
        <v>35.09568651162791</v>
      </c>
      <c r="O44" s="52">
        <f t="shared" si="48"/>
        <v>10.751772325581396</v>
      </c>
      <c r="Q44" t="str">
        <f t="shared" si="16"/>
        <v/>
      </c>
      <c r="R44" t="str">
        <f t="shared" si="17"/>
        <v/>
      </c>
      <c r="S44" t="str">
        <f t="shared" si="18"/>
        <v/>
      </c>
      <c r="U44">
        <f t="shared" si="19"/>
        <v>-0.87293348837209095</v>
      </c>
      <c r="V44">
        <f t="shared" si="20"/>
        <v>1.0956865116279104</v>
      </c>
      <c r="W44">
        <f t="shared" si="21"/>
        <v>1.2517723255813955</v>
      </c>
      <c r="Y44" t="str">
        <f t="shared" si="22"/>
        <v/>
      </c>
      <c r="Z44" t="str">
        <f t="shared" si="23"/>
        <v/>
      </c>
      <c r="AA44" t="str">
        <f t="shared" si="24"/>
        <v/>
      </c>
      <c r="AC44" t="str">
        <f t="shared" si="25"/>
        <v/>
      </c>
      <c r="AD44" t="str">
        <f t="shared" si="26"/>
        <v/>
      </c>
      <c r="AE44" t="str">
        <f t="shared" si="27"/>
        <v/>
      </c>
      <c r="AG44" t="str">
        <f t="shared" si="13"/>
        <v/>
      </c>
      <c r="AH44" t="str">
        <f t="shared" si="14"/>
        <v/>
      </c>
      <c r="AI44" t="str">
        <f t="shared" si="15"/>
        <v/>
      </c>
    </row>
    <row r="45" spans="1:44" ht="15.75" thickBot="1" x14ac:dyDescent="0.3">
      <c r="A45" s="3">
        <f>database!A45</f>
        <v>42054</v>
      </c>
      <c r="B45" s="3" t="str">
        <f>database!B45</f>
        <v>Galaxy</v>
      </c>
      <c r="C45">
        <f>database!C45</f>
        <v>923</v>
      </c>
      <c r="D45">
        <f>database!D45</f>
        <v>1.1000000000000001</v>
      </c>
      <c r="E45">
        <f>database!E45</f>
        <v>1015.3000000000001</v>
      </c>
      <c r="F45">
        <f>database!F45</f>
        <v>53.468142792589248</v>
      </c>
      <c r="G45">
        <f>database!G45</f>
        <v>46.531857207410752</v>
      </c>
      <c r="H45">
        <f>database!H45</f>
        <v>43</v>
      </c>
      <c r="I45">
        <f>database!I45</f>
        <v>36</v>
      </c>
      <c r="J45">
        <f>database!J45</f>
        <v>10</v>
      </c>
      <c r="K45">
        <f>database!K45</f>
        <v>11</v>
      </c>
      <c r="M45" s="11">
        <f t="shared" ref="M45:O47" si="49">INDEX(AV$3:AV$31,MATCH($A45,$AT$3:$AT$31,0))</f>
        <v>44.123660000000001</v>
      </c>
      <c r="N45" s="11">
        <f t="shared" si="49"/>
        <v>35.132440000000003</v>
      </c>
      <c r="O45" s="11">
        <f t="shared" si="49"/>
        <v>10.72259</v>
      </c>
      <c r="Q45" t="str">
        <f t="shared" si="16"/>
        <v/>
      </c>
      <c r="R45" t="str">
        <f t="shared" si="17"/>
        <v/>
      </c>
      <c r="S45" t="str">
        <f t="shared" si="18"/>
        <v/>
      </c>
      <c r="U45" t="str">
        <f t="shared" si="19"/>
        <v/>
      </c>
      <c r="V45" t="str">
        <f t="shared" si="20"/>
        <v/>
      </c>
      <c r="W45" t="str">
        <f t="shared" si="21"/>
        <v/>
      </c>
      <c r="Y45" t="str">
        <f t="shared" si="22"/>
        <v/>
      </c>
      <c r="Z45" t="str">
        <f t="shared" si="23"/>
        <v/>
      </c>
      <c r="AA45" t="str">
        <f t="shared" si="24"/>
        <v/>
      </c>
      <c r="AC45" t="str">
        <f t="shared" si="25"/>
        <v/>
      </c>
      <c r="AD45" t="str">
        <f t="shared" si="26"/>
        <v/>
      </c>
      <c r="AE45" t="str">
        <f t="shared" si="27"/>
        <v/>
      </c>
      <c r="AG45" t="str">
        <f t="shared" si="13"/>
        <v/>
      </c>
      <c r="AH45" t="str">
        <f t="shared" si="14"/>
        <v/>
      </c>
      <c r="AI45" t="str">
        <f t="shared" si="15"/>
        <v/>
      </c>
    </row>
    <row r="46" spans="1:44" ht="15.75" thickBot="1" x14ac:dyDescent="0.3">
      <c r="A46" s="3">
        <f>database!A46</f>
        <v>42056</v>
      </c>
      <c r="B46" s="3" t="str">
        <f>database!B46</f>
        <v>Morgan phone</v>
      </c>
      <c r="C46">
        <f>database!C46</f>
        <v>418</v>
      </c>
      <c r="D46">
        <f>database!D46</f>
        <v>1.5</v>
      </c>
      <c r="E46">
        <f>database!E46</f>
        <v>627</v>
      </c>
      <c r="F46">
        <f>database!F46</f>
        <v>53.418779289706954</v>
      </c>
      <c r="G46">
        <f>database!G46</f>
        <v>46.581220710293046</v>
      </c>
      <c r="H46">
        <f>database!H46</f>
        <v>43</v>
      </c>
      <c r="I46">
        <f>database!I46</f>
        <v>36</v>
      </c>
      <c r="J46">
        <f>database!J46</f>
        <v>10.5</v>
      </c>
      <c r="K46">
        <f>database!K46</f>
        <v>10.5</v>
      </c>
      <c r="M46" s="11">
        <f t="shared" si="49"/>
        <v>44.11777</v>
      </c>
      <c r="N46" s="11">
        <f t="shared" si="49"/>
        <v>35.150829999999999</v>
      </c>
      <c r="O46" s="11">
        <f t="shared" si="49"/>
        <v>10.710739999999999</v>
      </c>
      <c r="Q46" t="str">
        <f t="shared" si="16"/>
        <v/>
      </c>
      <c r="R46" t="str">
        <f t="shared" si="17"/>
        <v/>
      </c>
      <c r="S46" t="str">
        <f t="shared" si="18"/>
        <v/>
      </c>
      <c r="U46" t="str">
        <f t="shared" si="19"/>
        <v/>
      </c>
      <c r="V46" t="str">
        <f t="shared" si="20"/>
        <v/>
      </c>
      <c r="W46" t="str">
        <f t="shared" si="21"/>
        <v/>
      </c>
      <c r="Y46" t="str">
        <f t="shared" si="22"/>
        <v/>
      </c>
      <c r="Z46" t="str">
        <f t="shared" si="23"/>
        <v/>
      </c>
      <c r="AA46" t="str">
        <f t="shared" si="24"/>
        <v/>
      </c>
      <c r="AC46" t="str">
        <f t="shared" si="25"/>
        <v/>
      </c>
      <c r="AD46" t="str">
        <f t="shared" si="26"/>
        <v/>
      </c>
      <c r="AE46" t="str">
        <f t="shared" si="27"/>
        <v/>
      </c>
      <c r="AG46" t="str">
        <f t="shared" si="13"/>
        <v/>
      </c>
      <c r="AH46" t="str">
        <f t="shared" si="14"/>
        <v/>
      </c>
      <c r="AI46" t="str">
        <f t="shared" si="15"/>
        <v/>
      </c>
    </row>
    <row r="47" spans="1:44" x14ac:dyDescent="0.25">
      <c r="A47" s="3">
        <f>database!A47</f>
        <v>42060</v>
      </c>
      <c r="B47" s="3" t="str">
        <f>database!B47</f>
        <v>Newspoll</v>
      </c>
      <c r="C47">
        <f>database!C47</f>
        <v>1119</v>
      </c>
      <c r="D47">
        <f>database!D47</f>
        <v>1</v>
      </c>
      <c r="E47">
        <f>database!E47</f>
        <v>1119</v>
      </c>
      <c r="F47">
        <f>database!F47</f>
        <v>53.369454791737212</v>
      </c>
      <c r="G47">
        <f>database!G47</f>
        <v>46.630545208262788</v>
      </c>
      <c r="H47">
        <f>database!H47</f>
        <v>43</v>
      </c>
      <c r="I47">
        <f>database!I47</f>
        <v>36</v>
      </c>
      <c r="J47">
        <f>database!J47</f>
        <v>11</v>
      </c>
      <c r="K47">
        <f>database!K47</f>
        <v>10</v>
      </c>
      <c r="M47" s="11">
        <f t="shared" si="49"/>
        <v>44.111269999999998</v>
      </c>
      <c r="N47" s="11">
        <f t="shared" si="49"/>
        <v>35.187609999999999</v>
      </c>
      <c r="O47" s="11">
        <f t="shared" si="49"/>
        <v>10.689870000000001</v>
      </c>
      <c r="Q47" t="str">
        <f t="shared" si="16"/>
        <v/>
      </c>
      <c r="R47" t="str">
        <f t="shared" si="17"/>
        <v/>
      </c>
      <c r="S47" t="str">
        <f t="shared" si="18"/>
        <v/>
      </c>
      <c r="U47" t="str">
        <f t="shared" si="19"/>
        <v/>
      </c>
      <c r="V47" t="str">
        <f t="shared" si="20"/>
        <v/>
      </c>
      <c r="W47" t="str">
        <f t="shared" si="21"/>
        <v/>
      </c>
      <c r="Y47" t="str">
        <f t="shared" si="22"/>
        <v/>
      </c>
      <c r="Z47" t="str">
        <f t="shared" si="23"/>
        <v/>
      </c>
      <c r="AA47" t="str">
        <f t="shared" si="24"/>
        <v/>
      </c>
      <c r="AC47" t="str">
        <f t="shared" si="25"/>
        <v/>
      </c>
      <c r="AD47" t="str">
        <f t="shared" si="26"/>
        <v/>
      </c>
      <c r="AE47" t="str">
        <f t="shared" si="27"/>
        <v/>
      </c>
      <c r="AG47" t="str">
        <f t="shared" si="13"/>
        <v/>
      </c>
      <c r="AH47" t="str">
        <f t="shared" si="14"/>
        <v/>
      </c>
      <c r="AI47" t="str">
        <f t="shared" si="15"/>
        <v/>
      </c>
    </row>
    <row r="48" spans="1:44" x14ac:dyDescent="0.25">
      <c r="A48" s="3">
        <f>database!A48</f>
        <v>42061</v>
      </c>
      <c r="B48" s="3" t="str">
        <f>database!B48</f>
        <v>ReachTEL</v>
      </c>
      <c r="C48">
        <f>database!C48</f>
        <v>1496</v>
      </c>
      <c r="D48">
        <f>database!D48</f>
        <v>0.4</v>
      </c>
      <c r="E48">
        <f>database!E48</f>
        <v>598.4</v>
      </c>
      <c r="F48">
        <f>database!F48</f>
        <v>54.903902417068018</v>
      </c>
      <c r="G48">
        <f>database!G48</f>
        <v>45.096097582931982</v>
      </c>
      <c r="H48">
        <f>database!H48</f>
        <v>44.6</v>
      </c>
      <c r="I48">
        <f>database!I48</f>
        <v>35</v>
      </c>
      <c r="J48">
        <f>database!J48</f>
        <v>10</v>
      </c>
      <c r="K48">
        <f>database!K48</f>
        <v>10.400000000000006</v>
      </c>
      <c r="M48" s="52">
        <f>M47+((M$50-M47)*(($A48-$A47)/($A$50-$A47)))</f>
        <v>44.109645999999998</v>
      </c>
      <c r="N48" s="52">
        <f>N47+((N$50-N47)*(($A48-$A47)/($A$50-$A47)))</f>
        <v>35.196804</v>
      </c>
      <c r="O48" s="52">
        <f>O47+((O$50-O47)*(($A48-$A47)/($A$50-$A47)))</f>
        <v>10.684651333333335</v>
      </c>
      <c r="Q48" t="str">
        <f t="shared" si="16"/>
        <v/>
      </c>
      <c r="R48" t="str">
        <f t="shared" si="17"/>
        <v/>
      </c>
      <c r="S48" t="str">
        <f t="shared" si="18"/>
        <v/>
      </c>
      <c r="U48" t="str">
        <f t="shared" si="19"/>
        <v/>
      </c>
      <c r="V48" t="str">
        <f t="shared" si="20"/>
        <v/>
      </c>
      <c r="W48" t="str">
        <f t="shared" si="21"/>
        <v/>
      </c>
      <c r="Y48" t="str">
        <f t="shared" si="22"/>
        <v/>
      </c>
      <c r="Z48" t="str">
        <f t="shared" si="23"/>
        <v/>
      </c>
      <c r="AA48" t="str">
        <f t="shared" si="24"/>
        <v/>
      </c>
      <c r="AC48">
        <f t="shared" si="25"/>
        <v>-0.49035400000000351</v>
      </c>
      <c r="AD48">
        <f t="shared" si="26"/>
        <v>0.1968040000000002</v>
      </c>
      <c r="AE48">
        <f t="shared" si="27"/>
        <v>0.68465133333333483</v>
      </c>
      <c r="AG48" t="str">
        <f t="shared" si="13"/>
        <v/>
      </c>
      <c r="AH48" t="str">
        <f t="shared" si="14"/>
        <v/>
      </c>
      <c r="AI48" t="str">
        <f t="shared" si="15"/>
        <v/>
      </c>
    </row>
    <row r="49" spans="1:44" ht="15.75" thickBot="1" x14ac:dyDescent="0.3">
      <c r="A49" s="3">
        <f>database!A49</f>
        <v>42068</v>
      </c>
      <c r="B49" s="3" t="str">
        <f>database!B49</f>
        <v>ReachTEL</v>
      </c>
      <c r="C49">
        <f>database!C49</f>
        <v>1731</v>
      </c>
      <c r="D49">
        <f>database!D49</f>
        <v>0.4</v>
      </c>
      <c r="E49">
        <f>database!E49</f>
        <v>692.40000000000009</v>
      </c>
      <c r="F49">
        <f>database!F49</f>
        <v>54.701531362392267</v>
      </c>
      <c r="G49">
        <f>database!G49</f>
        <v>45.298468637607733</v>
      </c>
      <c r="H49">
        <f>database!H49</f>
        <v>44</v>
      </c>
      <c r="I49">
        <f>database!I49</f>
        <v>34.799999999999997</v>
      </c>
      <c r="J49">
        <f>database!J49</f>
        <v>10.199999999999999</v>
      </c>
      <c r="K49">
        <f>database!K49</f>
        <v>11</v>
      </c>
      <c r="M49" s="52">
        <f>M47+((M$50-M47)*(($A49-$A47)/($A$50-$A47)))</f>
        <v>44.098278000000001</v>
      </c>
      <c r="N49" s="52">
        <f>N47+((N$50-N47)*(($A49-$A47)/($A$50-$A47)))</f>
        <v>35.261161999999999</v>
      </c>
      <c r="O49" s="52">
        <f>O47+((O$50-O47)*(($A49-$A47)/($A$50-$A47)))</f>
        <v>10.648120666666667</v>
      </c>
      <c r="Q49" t="str">
        <f t="shared" si="16"/>
        <v/>
      </c>
      <c r="R49" t="str">
        <f t="shared" si="17"/>
        <v/>
      </c>
      <c r="S49" t="str">
        <f t="shared" si="18"/>
        <v/>
      </c>
      <c r="U49" t="str">
        <f t="shared" si="19"/>
        <v/>
      </c>
      <c r="V49" t="str">
        <f t="shared" si="20"/>
        <v/>
      </c>
      <c r="W49" t="str">
        <f t="shared" si="21"/>
        <v/>
      </c>
      <c r="Y49" t="str">
        <f t="shared" si="22"/>
        <v/>
      </c>
      <c r="Z49" t="str">
        <f t="shared" si="23"/>
        <v/>
      </c>
      <c r="AA49" t="str">
        <f t="shared" si="24"/>
        <v/>
      </c>
      <c r="AC49">
        <f t="shared" si="25"/>
        <v>9.8278000000000532E-2</v>
      </c>
      <c r="AD49">
        <f t="shared" si="26"/>
        <v>0.46116200000000163</v>
      </c>
      <c r="AE49">
        <f t="shared" si="27"/>
        <v>0.44812066666666794</v>
      </c>
      <c r="AG49" t="str">
        <f t="shared" si="13"/>
        <v/>
      </c>
      <c r="AH49" t="str">
        <f t="shared" si="14"/>
        <v/>
      </c>
      <c r="AI49" t="str">
        <f t="shared" si="15"/>
        <v/>
      </c>
    </row>
    <row r="50" spans="1:44" x14ac:dyDescent="0.25">
      <c r="A50" s="3">
        <f>database!A50</f>
        <v>42075</v>
      </c>
      <c r="B50" s="3" t="str">
        <f>database!B50</f>
        <v>Galaxy</v>
      </c>
      <c r="C50">
        <f>database!C50</f>
        <v>820</v>
      </c>
      <c r="D50">
        <f>database!D50</f>
        <v>1.1000000000000001</v>
      </c>
      <c r="E50">
        <f>database!E50</f>
        <v>902.00000000000011</v>
      </c>
      <c r="F50">
        <f>database!F50</f>
        <v>53.984287317620662</v>
      </c>
      <c r="G50">
        <f>database!G50</f>
        <v>46.015712682379338</v>
      </c>
      <c r="H50">
        <f>database!H50</f>
        <v>44</v>
      </c>
      <c r="I50">
        <f>database!I50</f>
        <v>36</v>
      </c>
      <c r="J50">
        <f>database!J50</f>
        <v>10</v>
      </c>
      <c r="K50">
        <f>database!K50</f>
        <v>10</v>
      </c>
      <c r="M50" s="11">
        <f>INDEX(AV$3:AV$31,MATCH($A50,$AT$3:$AT$31,0))</f>
        <v>44.086910000000003</v>
      </c>
      <c r="N50" s="11">
        <f>INDEX(AW$3:AW$31,MATCH($A50,$AT$3:$AT$31,0))</f>
        <v>35.325519999999997</v>
      </c>
      <c r="O50" s="11">
        <f>INDEX(AX$3:AX$31,MATCH($A50,$AT$3:$AT$31,0))</f>
        <v>10.61159</v>
      </c>
      <c r="Q50" t="str">
        <f t="shared" si="16"/>
        <v/>
      </c>
      <c r="R50" t="str">
        <f t="shared" si="17"/>
        <v/>
      </c>
      <c r="S50" t="str">
        <f t="shared" si="18"/>
        <v/>
      </c>
      <c r="U50" t="str">
        <f t="shared" si="19"/>
        <v/>
      </c>
      <c r="V50" t="str">
        <f t="shared" si="20"/>
        <v/>
      </c>
      <c r="W50" t="str">
        <f t="shared" si="21"/>
        <v/>
      </c>
      <c r="Y50" t="str">
        <f t="shared" si="22"/>
        <v/>
      </c>
      <c r="Z50" t="str">
        <f t="shared" si="23"/>
        <v/>
      </c>
      <c r="AA50" t="str">
        <f t="shared" si="24"/>
        <v/>
      </c>
      <c r="AC50" t="str">
        <f t="shared" si="25"/>
        <v/>
      </c>
      <c r="AD50" t="str">
        <f t="shared" si="26"/>
        <v/>
      </c>
      <c r="AE50" t="str">
        <f t="shared" si="27"/>
        <v/>
      </c>
      <c r="AG50" t="str">
        <f t="shared" si="13"/>
        <v/>
      </c>
      <c r="AH50" t="str">
        <f t="shared" si="14"/>
        <v/>
      </c>
      <c r="AI50" t="str">
        <f t="shared" si="15"/>
        <v/>
      </c>
      <c r="AK50">
        <v>49</v>
      </c>
      <c r="AL50">
        <v>24</v>
      </c>
    </row>
    <row r="51" spans="1:44" x14ac:dyDescent="0.25">
      <c r="A51" s="3">
        <f>database!A51</f>
        <v>42077</v>
      </c>
      <c r="B51" s="3" t="str">
        <f>database!B51</f>
        <v>Morgan SMS</v>
      </c>
      <c r="C51">
        <f>database!C51</f>
        <v>1287</v>
      </c>
      <c r="D51">
        <f>database!D51</f>
        <v>0.4</v>
      </c>
      <c r="E51">
        <f>database!E51</f>
        <v>514.80000000000007</v>
      </c>
      <c r="F51">
        <f>database!F51</f>
        <v>56.639201838461972</v>
      </c>
      <c r="G51">
        <f>database!G51</f>
        <v>43.360798161538028</v>
      </c>
      <c r="H51">
        <f>database!H51</f>
        <v>46.5</v>
      </c>
      <c r="I51">
        <f>database!I51</f>
        <v>33.5</v>
      </c>
      <c r="J51">
        <f>database!J51</f>
        <v>11.5</v>
      </c>
      <c r="K51">
        <f>database!K51</f>
        <v>8.5</v>
      </c>
      <c r="M51" s="52">
        <f>M50+((M53-M50)*(($A51-$A50)/($A53-$A50)))</f>
        <v>44.086272857142859</v>
      </c>
      <c r="N51" s="52">
        <f>N50+((N53-N50)*(($A51-$A50)/($A53-$A50)))</f>
        <v>35.343911428571424</v>
      </c>
      <c r="O51" s="52">
        <f>O50+((O53-O50)*(($A51-$A50)/($A53-$A50)))</f>
        <v>10.601904285714285</v>
      </c>
      <c r="Q51" t="str">
        <f t="shared" si="16"/>
        <v/>
      </c>
      <c r="R51" t="str">
        <f t="shared" si="17"/>
        <v/>
      </c>
      <c r="S51" t="str">
        <f t="shared" si="18"/>
        <v/>
      </c>
      <c r="U51">
        <f t="shared" si="19"/>
        <v>-2.413727142857141</v>
      </c>
      <c r="V51">
        <f t="shared" si="20"/>
        <v>1.843911428571424</v>
      </c>
      <c r="W51">
        <f t="shared" si="21"/>
        <v>-0.89809571428571466</v>
      </c>
      <c r="Y51" t="str">
        <f t="shared" si="22"/>
        <v/>
      </c>
      <c r="Z51" t="str">
        <f t="shared" si="23"/>
        <v/>
      </c>
      <c r="AA51" t="str">
        <f t="shared" si="24"/>
        <v/>
      </c>
      <c r="AC51" t="str">
        <f t="shared" si="25"/>
        <v/>
      </c>
      <c r="AD51" t="str">
        <f t="shared" si="26"/>
        <v/>
      </c>
      <c r="AE51" t="str">
        <f t="shared" si="27"/>
        <v/>
      </c>
      <c r="AG51" t="str">
        <f t="shared" si="13"/>
        <v/>
      </c>
      <c r="AH51" t="str">
        <f t="shared" si="14"/>
        <v/>
      </c>
      <c r="AI51" t="str">
        <f t="shared" si="15"/>
        <v/>
      </c>
    </row>
    <row r="52" spans="1:44" ht="15.75" thickBot="1" x14ac:dyDescent="0.3">
      <c r="A52" s="3">
        <f>database!A52</f>
        <v>42078</v>
      </c>
      <c r="B52" s="3" t="str">
        <f>database!B52</f>
        <v>Lonergan</v>
      </c>
      <c r="C52">
        <f>database!C52</f>
        <v>1565</v>
      </c>
      <c r="D52">
        <f>database!D52</f>
        <v>0.2</v>
      </c>
      <c r="E52">
        <f>database!E52</f>
        <v>313</v>
      </c>
      <c r="F52">
        <f>database!F52</f>
        <v>56.228956228956243</v>
      </c>
      <c r="G52">
        <f>database!G52</f>
        <v>43.771043771043757</v>
      </c>
      <c r="H52">
        <f>database!H52</f>
        <v>46</v>
      </c>
      <c r="I52">
        <f>database!I52</f>
        <v>34</v>
      </c>
      <c r="J52">
        <f>database!J52</f>
        <v>10</v>
      </c>
      <c r="K52">
        <f>database!K52</f>
        <v>10</v>
      </c>
      <c r="M52" s="52">
        <f>M50+((M53-M50)*(($A52-$A50)/($A53-$A50)))</f>
        <v>44.085954285714287</v>
      </c>
      <c r="N52" s="52">
        <f>N50+((N53-N50)*(($A52-$A50)/($A53-$A50)))</f>
        <v>35.353107142857141</v>
      </c>
      <c r="O52" s="52">
        <f>O50+((O53-O50)*(($A52-$A50)/($A53-$A50)))</f>
        <v>10.597061428571429</v>
      </c>
      <c r="Q52" t="str">
        <f t="shared" si="16"/>
        <v/>
      </c>
      <c r="R52" t="str">
        <f t="shared" si="17"/>
        <v/>
      </c>
      <c r="S52" t="str">
        <f t="shared" si="18"/>
        <v/>
      </c>
      <c r="U52" t="str">
        <f t="shared" si="19"/>
        <v/>
      </c>
      <c r="V52" t="str">
        <f t="shared" si="20"/>
        <v/>
      </c>
      <c r="W52" t="str">
        <f t="shared" si="21"/>
        <v/>
      </c>
      <c r="Y52" t="str">
        <f t="shared" si="22"/>
        <v/>
      </c>
      <c r="Z52" t="str">
        <f t="shared" si="23"/>
        <v/>
      </c>
      <c r="AA52" t="str">
        <f t="shared" si="24"/>
        <v/>
      </c>
      <c r="AC52" t="str">
        <f t="shared" si="25"/>
        <v/>
      </c>
      <c r="AD52" t="str">
        <f t="shared" si="26"/>
        <v/>
      </c>
      <c r="AE52" t="str">
        <f t="shared" si="27"/>
        <v/>
      </c>
      <c r="AG52">
        <f t="shared" si="13"/>
        <v>-1.914045714285713</v>
      </c>
      <c r="AH52">
        <f t="shared" si="14"/>
        <v>1.3531071428571408</v>
      </c>
      <c r="AI52">
        <f t="shared" si="15"/>
        <v>0.59706142857142908</v>
      </c>
      <c r="AK52">
        <v>52</v>
      </c>
      <c r="AL52">
        <v>23</v>
      </c>
    </row>
    <row r="53" spans="1:44" x14ac:dyDescent="0.25">
      <c r="A53" s="3">
        <f>database!A53</f>
        <v>42082</v>
      </c>
      <c r="B53" s="3" t="str">
        <f>database!B53</f>
        <v>Galaxy</v>
      </c>
      <c r="C53">
        <f>database!C53</f>
        <v>820</v>
      </c>
      <c r="D53">
        <f>database!D53</f>
        <v>1.1000000000000001</v>
      </c>
      <c r="E53">
        <f>database!E53</f>
        <v>902.00000000000011</v>
      </c>
      <c r="F53">
        <f>database!F53</f>
        <v>54.493755575379119</v>
      </c>
      <c r="G53">
        <f>database!G53</f>
        <v>45.506244424620881</v>
      </c>
      <c r="H53">
        <f>database!H53</f>
        <v>45</v>
      </c>
      <c r="I53">
        <f>database!I53</f>
        <v>36</v>
      </c>
      <c r="J53">
        <f>database!J53</f>
        <v>10</v>
      </c>
      <c r="K53">
        <f>database!K53</f>
        <v>9</v>
      </c>
      <c r="M53" s="11">
        <f>INDEX(AV$3:AV$31,MATCH($A53,$AT$3:$AT$31,0))</f>
        <v>44.084679999999999</v>
      </c>
      <c r="N53" s="11">
        <f>INDEX(AW$3:AW$31,MATCH($A53,$AT$3:$AT$31,0))</f>
        <v>35.389890000000001</v>
      </c>
      <c r="O53" s="11">
        <f>INDEX(AX$3:AX$31,MATCH($A53,$AT$3:$AT$31,0))</f>
        <v>10.57769</v>
      </c>
      <c r="Q53" t="str">
        <f t="shared" si="16"/>
        <v/>
      </c>
      <c r="R53" t="str">
        <f t="shared" si="17"/>
        <v/>
      </c>
      <c r="S53" t="str">
        <f t="shared" si="18"/>
        <v/>
      </c>
      <c r="U53" t="str">
        <f t="shared" si="19"/>
        <v/>
      </c>
      <c r="V53" t="str">
        <f t="shared" si="20"/>
        <v/>
      </c>
      <c r="W53" t="str">
        <f t="shared" si="21"/>
        <v/>
      </c>
      <c r="Y53" t="str">
        <f t="shared" si="22"/>
        <v/>
      </c>
      <c r="Z53" t="str">
        <f t="shared" si="23"/>
        <v/>
      </c>
      <c r="AA53" t="str">
        <f t="shared" si="24"/>
        <v/>
      </c>
      <c r="AC53" t="str">
        <f t="shared" si="25"/>
        <v/>
      </c>
      <c r="AD53" t="str">
        <f t="shared" si="26"/>
        <v/>
      </c>
      <c r="AE53" t="str">
        <f t="shared" si="27"/>
        <v/>
      </c>
      <c r="AG53" t="str">
        <f t="shared" si="13"/>
        <v/>
      </c>
      <c r="AH53" t="str">
        <f t="shared" si="14"/>
        <v/>
      </c>
      <c r="AI53" t="str">
        <f t="shared" si="15"/>
        <v/>
      </c>
    </row>
    <row r="54" spans="1:44" x14ac:dyDescent="0.25">
      <c r="A54" s="3">
        <f>database!A54</f>
        <v>42083</v>
      </c>
      <c r="B54" s="3" t="str">
        <f>database!B54</f>
        <v>Ipsos</v>
      </c>
      <c r="C54">
        <f>database!C54</f>
        <v>1223</v>
      </c>
      <c r="D54">
        <f>database!D54</f>
        <v>0.4</v>
      </c>
      <c r="E54">
        <f>database!E54</f>
        <v>489.20000000000005</v>
      </c>
      <c r="F54">
        <f>database!F54</f>
        <v>57.680604079792644</v>
      </c>
      <c r="G54">
        <f>database!G54</f>
        <v>42.319395920207356</v>
      </c>
      <c r="H54">
        <f>database!H54</f>
        <v>47</v>
      </c>
      <c r="I54">
        <f>database!I54</f>
        <v>32</v>
      </c>
      <c r="J54">
        <f>database!J54</f>
        <v>13</v>
      </c>
      <c r="K54">
        <f>database!K54</f>
        <v>8</v>
      </c>
      <c r="M54" s="52">
        <f>M53+((M57-M53)*(($A54-$A53)/($A57-$A53)))</f>
        <v>44.084361666666666</v>
      </c>
      <c r="N54" s="52">
        <f>N53+((N57-N53)*(($A54-$A53)/($A57-$A53)))</f>
        <v>35.399084999999999</v>
      </c>
      <c r="O54" s="52">
        <f>O53+((O57-O53)*(($A54-$A53)/($A57-$A53)))</f>
        <v>10.572848333333333</v>
      </c>
      <c r="U54" t="str">
        <f t="shared" si="19"/>
        <v/>
      </c>
      <c r="V54" t="str">
        <f t="shared" si="20"/>
        <v/>
      </c>
      <c r="W54" t="str">
        <f t="shared" si="21"/>
        <v/>
      </c>
      <c r="AG54" t="str">
        <f t="shared" si="13"/>
        <v/>
      </c>
      <c r="AH54" t="str">
        <f t="shared" si="14"/>
        <v/>
      </c>
      <c r="AI54" t="str">
        <f t="shared" si="15"/>
        <v/>
      </c>
      <c r="AK54">
        <v>56</v>
      </c>
      <c r="AL54">
        <v>27</v>
      </c>
      <c r="AN54">
        <v>60</v>
      </c>
      <c r="AO54">
        <v>22</v>
      </c>
      <c r="AQ54">
        <v>37</v>
      </c>
      <c r="AR54">
        <v>32</v>
      </c>
    </row>
    <row r="55" spans="1:44" x14ac:dyDescent="0.25">
      <c r="A55" s="3">
        <f>database!A55</f>
        <v>42084</v>
      </c>
      <c r="B55" s="3" t="str">
        <f>database!B55</f>
        <v>Lonergan</v>
      </c>
      <c r="C55">
        <f>database!C55</f>
        <v>3251</v>
      </c>
      <c r="D55">
        <f>database!D55</f>
        <v>0.2</v>
      </c>
      <c r="E55">
        <f>database!E55</f>
        <v>650.20000000000005</v>
      </c>
      <c r="F55">
        <f>database!F55</f>
        <v>58.527440063629129</v>
      </c>
      <c r="G55">
        <f>database!G55</f>
        <v>41.472559936370871</v>
      </c>
      <c r="H55">
        <f>database!H55</f>
        <v>47</v>
      </c>
      <c r="I55">
        <f>database!I55</f>
        <v>31</v>
      </c>
      <c r="J55">
        <f>database!J55</f>
        <v>11</v>
      </c>
      <c r="K55">
        <f>database!K55</f>
        <v>11</v>
      </c>
      <c r="M55" s="52">
        <f>M53+((M57-M53)*(($A55-$A53)/($A57-$A53)))</f>
        <v>44.084043333333334</v>
      </c>
      <c r="N55" s="52">
        <f>N53+((N57-N53)*(($A55-$A53)/($A57-$A53)))</f>
        <v>35.408279999999998</v>
      </c>
      <c r="O55" s="52">
        <f>O53+((O57-O53)*(($A55-$A53)/($A57-$A53)))</f>
        <v>10.568006666666667</v>
      </c>
      <c r="AG55">
        <f t="shared" si="13"/>
        <v>-2.9159566666666663</v>
      </c>
      <c r="AH55">
        <f t="shared" si="14"/>
        <v>4.4082799999999978</v>
      </c>
      <c r="AI55">
        <f t="shared" si="15"/>
        <v>-0.43199333333333279</v>
      </c>
      <c r="AK55">
        <v>52</v>
      </c>
      <c r="AL55">
        <v>25</v>
      </c>
    </row>
    <row r="56" spans="1:44" ht="15.75" thickBot="1" x14ac:dyDescent="0.3">
      <c r="A56" s="3">
        <f>database!A56</f>
        <v>42085</v>
      </c>
      <c r="B56" s="3" t="str">
        <f>database!B56</f>
        <v>Morgan SMS</v>
      </c>
      <c r="C56">
        <f>database!C56</f>
        <v>1211</v>
      </c>
      <c r="D56">
        <f>database!D56</f>
        <v>0.4</v>
      </c>
      <c r="E56">
        <f>database!E56</f>
        <v>484.40000000000003</v>
      </c>
      <c r="F56">
        <f>database!F56</f>
        <v>56.721162579473209</v>
      </c>
      <c r="G56">
        <f>database!G56</f>
        <v>43.278837420526791</v>
      </c>
      <c r="H56">
        <f>database!H56</f>
        <v>45.5</v>
      </c>
      <c r="I56">
        <f>database!I56</f>
        <v>32.5</v>
      </c>
      <c r="J56">
        <f>database!J56</f>
        <v>12</v>
      </c>
      <c r="K56">
        <f>database!K56</f>
        <v>10</v>
      </c>
      <c r="M56" s="52">
        <f>M53+((M57-M53)*(($A56-$A53)/($A56-$A53)))</f>
        <v>44.082769999999996</v>
      </c>
      <c r="N56" s="52">
        <f>N53+((N57-N53)*(($A56-$A53)/($A57-$A53)))</f>
        <v>35.417474999999996</v>
      </c>
      <c r="O56" s="52">
        <f>O53+((O57-O53)*(($A56-$A53)/($A57-$A53)))</f>
        <v>10.563165000000001</v>
      </c>
      <c r="U56">
        <f t="shared" si="19"/>
        <v>-1.4172300000000035</v>
      </c>
      <c r="V56">
        <f t="shared" si="20"/>
        <v>2.917474999999996</v>
      </c>
      <c r="W56">
        <f t="shared" si="21"/>
        <v>-1.4368349999999985</v>
      </c>
      <c r="AG56" t="str">
        <f t="shared" si="13"/>
        <v/>
      </c>
      <c r="AH56" t="str">
        <f t="shared" si="14"/>
        <v/>
      </c>
      <c r="AI56" t="str">
        <f t="shared" si="15"/>
        <v/>
      </c>
    </row>
    <row r="57" spans="1:44" ht="15.75" thickBot="1" x14ac:dyDescent="0.3">
      <c r="A57" s="3">
        <f>database!A57</f>
        <v>42088</v>
      </c>
      <c r="B57" s="3" t="str">
        <f>database!B57</f>
        <v>Galaxy</v>
      </c>
      <c r="C57">
        <f>database!C57</f>
        <v>1300</v>
      </c>
      <c r="D57">
        <f>database!D57</f>
        <v>1.1000000000000001</v>
      </c>
      <c r="E57">
        <f>database!E57</f>
        <v>1430.0000000000002</v>
      </c>
      <c r="F57">
        <f>database!F57</f>
        <v>55.627045941979901</v>
      </c>
      <c r="G57">
        <f>database!G57</f>
        <v>44.372954058020099</v>
      </c>
      <c r="H57">
        <f>database!H57</f>
        <v>45</v>
      </c>
      <c r="I57">
        <f>database!I57</f>
        <v>34</v>
      </c>
      <c r="J57">
        <f>database!J57</f>
        <v>11</v>
      </c>
      <c r="K57">
        <f>database!K57</f>
        <v>10</v>
      </c>
      <c r="M57" s="11">
        <f t="shared" ref="M57:O58" si="50">INDEX(AV$3:AV$31,MATCH($A57,$AT$3:$AT$31,0))</f>
        <v>44.082769999999996</v>
      </c>
      <c r="N57" s="11">
        <f t="shared" si="50"/>
        <v>35.445059999999998</v>
      </c>
      <c r="O57" s="11">
        <f t="shared" si="50"/>
        <v>10.548640000000001</v>
      </c>
    </row>
    <row r="58" spans="1:44" ht="15.75" thickBot="1" x14ac:dyDescent="0.3">
      <c r="A58" s="3">
        <f>database!A58</f>
        <v>42088</v>
      </c>
      <c r="B58" s="3" t="str">
        <f>database!B58</f>
        <v>Newspoll</v>
      </c>
      <c r="C58">
        <f>database!C58</f>
        <v>1596</v>
      </c>
      <c r="D58">
        <f>database!D58</f>
        <v>1</v>
      </c>
      <c r="E58">
        <f>database!E58</f>
        <v>1596</v>
      </c>
      <c r="F58">
        <f>database!F58</f>
        <v>55.118736507215097</v>
      </c>
      <c r="G58">
        <f>database!G58</f>
        <v>44.881263492784903</v>
      </c>
      <c r="H58">
        <f>database!H58</f>
        <v>44</v>
      </c>
      <c r="I58">
        <f>database!I58</f>
        <v>34</v>
      </c>
      <c r="J58">
        <f>database!J58</f>
        <v>11</v>
      </c>
      <c r="K58">
        <f>database!K58</f>
        <v>11</v>
      </c>
      <c r="M58" s="11">
        <f t="shared" si="50"/>
        <v>44.082769999999996</v>
      </c>
      <c r="N58" s="11">
        <f t="shared" si="50"/>
        <v>35.445059999999998</v>
      </c>
      <c r="O58" s="11">
        <f t="shared" si="50"/>
        <v>10.548640000000001</v>
      </c>
    </row>
    <row r="59" spans="1:44" ht="15.75" thickBot="1" x14ac:dyDescent="0.3">
      <c r="A59" s="3">
        <f>database!A59</f>
        <v>42089</v>
      </c>
      <c r="B59" s="3" t="str">
        <f>database!B59</f>
        <v>Morgan SMS</v>
      </c>
      <c r="C59">
        <f>database!C59</f>
        <v>1086</v>
      </c>
      <c r="D59">
        <f>database!D59</f>
        <v>0.4</v>
      </c>
      <c r="E59">
        <f>database!E59</f>
        <v>434.40000000000003</v>
      </c>
      <c r="F59">
        <f>database!F59</f>
        <v>60.642342393463089</v>
      </c>
      <c r="G59">
        <f>database!G59</f>
        <v>39.357657606536911</v>
      </c>
      <c r="H59">
        <f>database!H59</f>
        <v>49</v>
      </c>
      <c r="I59">
        <f>database!I59</f>
        <v>29</v>
      </c>
      <c r="J59">
        <f>database!J59</f>
        <v>12.5</v>
      </c>
      <c r="K59">
        <f>database!K59</f>
        <v>9.5</v>
      </c>
      <c r="M59" s="11">
        <v>44.082769999999996</v>
      </c>
      <c r="N59" s="11">
        <v>35.445059999999998</v>
      </c>
      <c r="O59" s="11">
        <v>10.548640000000001</v>
      </c>
      <c r="U59">
        <f t="shared" ref="U59" si="51">IF($B59=U$2,$M59-$H59,"")</f>
        <v>-4.9172300000000035</v>
      </c>
      <c r="V59">
        <f t="shared" ref="V59" si="52">IF($B59=V$2,$N59-$I59,"")</f>
        <v>6.445059999999998</v>
      </c>
      <c r="W59">
        <f t="shared" ref="W59" si="53">IF($B59=W$2,$O59-$J59,"")</f>
        <v>-1.9513599999999993</v>
      </c>
    </row>
    <row r="60" spans="1:44" x14ac:dyDescent="0.25">
      <c r="A60" s="3">
        <f>database!A60</f>
        <v>42089</v>
      </c>
      <c r="B60" s="3" t="str">
        <f>database!B60</f>
        <v>ReachTEL</v>
      </c>
      <c r="C60">
        <f>database!C60</f>
        <v>1549</v>
      </c>
      <c r="D60">
        <f>database!D60</f>
        <v>0.4</v>
      </c>
      <c r="E60">
        <f>database!E60</f>
        <v>619.6</v>
      </c>
      <c r="F60">
        <f>database!F60</f>
        <v>56.053826820994267</v>
      </c>
      <c r="G60">
        <f>database!G60</f>
        <v>43.946173179005733</v>
      </c>
      <c r="H60">
        <f>database!H60</f>
        <v>45.5</v>
      </c>
      <c r="I60">
        <f>database!I60</f>
        <v>33.799999999999997</v>
      </c>
      <c r="J60">
        <f>database!J60</f>
        <v>10.5</v>
      </c>
      <c r="K60">
        <f>database!K60</f>
        <v>10.200000000000003</v>
      </c>
      <c r="M60" s="11">
        <v>44.082769999999996</v>
      </c>
      <c r="N60" s="11">
        <v>35.445059999999998</v>
      </c>
      <c r="O60" s="11">
        <v>10.548640000000001</v>
      </c>
      <c r="AC60">
        <f t="shared" ref="AC60" si="54">IF($B60=AC$2,$M60-$H60,"")</f>
        <v>-1.4172300000000035</v>
      </c>
      <c r="AD60">
        <f t="shared" ref="AD60" si="55">IF($B60=AD$2,$N60-$I60,"")</f>
        <v>1.6450600000000009</v>
      </c>
      <c r="AE60">
        <f t="shared" ref="AE60" si="56">IF($B60=AE$2,$O60-$J60,"")</f>
        <v>4.8640000000000683E-2</v>
      </c>
    </row>
    <row r="62" spans="1:44" x14ac:dyDescent="0.25">
      <c r="Q62" s="64">
        <f>AVERAGE(Q3:Q60)</f>
        <v>-1.8121559939173491</v>
      </c>
      <c r="R62" s="64">
        <f>AVERAGE(R3:R60)</f>
        <v>-3.344283984838464</v>
      </c>
      <c r="S62" s="64">
        <f>AVERAGE(S3:S60)</f>
        <v>2.9574176234066858</v>
      </c>
      <c r="T62" s="64"/>
      <c r="U62" s="64">
        <f>AVERAGE(U3:U60)</f>
        <v>-1.300673225800363</v>
      </c>
      <c r="V62" s="64">
        <f>AVERAGE(V3:V60)</f>
        <v>1.6667132108879494</v>
      </c>
      <c r="W62" s="64">
        <f>AVERAGE(W3:W60)</f>
        <v>-0.25384011137118678</v>
      </c>
      <c r="X62" s="64"/>
      <c r="Y62" s="64">
        <f>AVERAGE(Y3:Y60)</f>
        <v>-0.97573299003322234</v>
      </c>
      <c r="Z62" s="64">
        <f>AVERAGE(Z3:Z60)</f>
        <v>-0.34052156146179513</v>
      </c>
      <c r="AA62" s="64">
        <f>AVERAGE(AA3:AA60)</f>
        <v>-0.34943943521594711</v>
      </c>
      <c r="AB62" s="64"/>
      <c r="AC62" s="64">
        <f>AVERAGE(AC3:AC60)</f>
        <v>-0.60310200000000214</v>
      </c>
      <c r="AD62" s="64">
        <f>AVERAGE(AD3:AD60)</f>
        <v>0.76767533333333426</v>
      </c>
      <c r="AE62" s="64">
        <f>AVERAGE(AE3:AE60)</f>
        <v>0.39380400000000115</v>
      </c>
      <c r="AF62" s="64"/>
      <c r="AG62" s="64">
        <f>AVERAGE(AG3:AG60)</f>
        <v>-2.4150011904761897</v>
      </c>
      <c r="AH62" s="64">
        <f>AVERAGE(AH3:AH60)</f>
        <v>2.8806935714285693</v>
      </c>
      <c r="AI62" s="64">
        <f>AVERAGE(AI3:AI60)</f>
        <v>8.2534047619048145E-2</v>
      </c>
    </row>
    <row r="64" spans="1:44" x14ac:dyDescent="0.25">
      <c r="AG64" s="64"/>
      <c r="AH64" s="64"/>
      <c r="AI64" s="64"/>
    </row>
  </sheetData>
  <sortState ref="A3:O47">
    <sortCondition ref="A3:A47"/>
  </sortState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9"/>
  <sheetViews>
    <sheetView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AF3" sqref="AF3"/>
    </sheetView>
  </sheetViews>
  <sheetFormatPr defaultRowHeight="15" x14ac:dyDescent="0.25"/>
  <cols>
    <col min="1" max="1" width="19.42578125" bestFit="1" customWidth="1"/>
    <col min="56" max="56" width="9.140625" customWidth="1"/>
  </cols>
  <sheetData>
    <row r="1" spans="1:56" x14ac:dyDescent="0.25">
      <c r="N1" t="s">
        <v>144</v>
      </c>
      <c r="O1" s="57">
        <f>SQRT(output!E11*output!E11)</f>
        <v>8.3256109207347828E-2</v>
      </c>
      <c r="P1" s="58">
        <f>(0.131*SQRT(O1*O1))+0.019</f>
        <v>2.9906550306162565E-2</v>
      </c>
      <c r="AB1" t="s">
        <v>123</v>
      </c>
      <c r="AF1" t="s">
        <v>179</v>
      </c>
      <c r="AK1" t="s">
        <v>180</v>
      </c>
      <c r="AP1" t="s">
        <v>193</v>
      </c>
      <c r="AX1" t="s">
        <v>194</v>
      </c>
    </row>
    <row r="2" spans="1:56" x14ac:dyDescent="0.25">
      <c r="C2" t="s">
        <v>124</v>
      </c>
      <c r="E2" t="s">
        <v>125</v>
      </c>
      <c r="H2" s="54" t="s">
        <v>139</v>
      </c>
      <c r="I2" s="54" t="s">
        <v>140</v>
      </c>
      <c r="J2" s="54" t="s">
        <v>141</v>
      </c>
      <c r="K2" s="54" t="s">
        <v>142</v>
      </c>
      <c r="L2" s="54" t="s">
        <v>143</v>
      </c>
      <c r="AB2" t="s">
        <v>3</v>
      </c>
      <c r="AC2" t="s">
        <v>4</v>
      </c>
      <c r="AD2" t="s">
        <v>5</v>
      </c>
      <c r="AF2" t="s">
        <v>3</v>
      </c>
      <c r="AG2" t="s">
        <v>4</v>
      </c>
      <c r="AH2" t="s">
        <v>5</v>
      </c>
      <c r="AI2" t="s">
        <v>13</v>
      </c>
      <c r="AK2" t="s">
        <v>3</v>
      </c>
      <c r="AL2" t="s">
        <v>4</v>
      </c>
      <c r="AM2" t="s">
        <v>5</v>
      </c>
      <c r="AN2" t="s">
        <v>13</v>
      </c>
      <c r="AP2" t="s">
        <v>3</v>
      </c>
      <c r="AQ2" t="s">
        <v>4</v>
      </c>
      <c r="AR2" t="s">
        <v>181</v>
      </c>
      <c r="AT2" t="s">
        <v>8</v>
      </c>
      <c r="AU2" t="s">
        <v>9</v>
      </c>
      <c r="AX2" t="s">
        <v>3</v>
      </c>
      <c r="AY2" t="s">
        <v>4</v>
      </c>
      <c r="AZ2" t="s">
        <v>181</v>
      </c>
      <c r="BB2" t="s">
        <v>8</v>
      </c>
      <c r="BC2" t="s">
        <v>9</v>
      </c>
    </row>
    <row r="3" spans="1:56" x14ac:dyDescent="0.25">
      <c r="A3" t="s">
        <v>30</v>
      </c>
      <c r="B3" t="s">
        <v>3</v>
      </c>
      <c r="C3">
        <v>0.77100000000000013</v>
      </c>
      <c r="E3">
        <f>C3+output!$E$10</f>
        <v>0.6877438907926523</v>
      </c>
      <c r="G3" t="s">
        <v>126</v>
      </c>
      <c r="H3" s="52">
        <f>IF(G3="ALPVAC",1,IF(G3="LNPVAC",1,0))</f>
        <v>0</v>
      </c>
      <c r="I3" s="52">
        <f t="shared" ref="I3" si="0">IF(G3="ALPSOPWIN",1,IF(G3="LNPSOPWIN",1,0))</f>
        <v>0</v>
      </c>
      <c r="J3" s="52">
        <f t="shared" ref="J3" si="1">IF(G3="ALPSOPWIN",1,IF(G3="LNPSOPWIN",1,0))</f>
        <v>0</v>
      </c>
      <c r="K3" s="52">
        <f>IF(J3=1,IF(Z3="NOTSYD",0,1),0)</f>
        <v>0</v>
      </c>
      <c r="L3" s="53">
        <f>IF(B3="LNP",(-0.01*H3)+(0.009*I3)+(0.005*J3)+(0.008*K3),IF(B3="ALP",0-((-0.01*H3)+(0.009*I3)+(0.005*J3)+(0.008*K3)),0))</f>
        <v>0</v>
      </c>
      <c r="M3" s="55">
        <f>IF(Z3="NOTSYD",E3+L3-L$97+regcalc!P$114,E3+L3-L$97+regcalc!K$114)</f>
        <v>0.7884053985320657</v>
      </c>
      <c r="N3" s="56">
        <f>(1-(NORMDIST(0.5,M3,P$1,1)))</f>
        <v>1</v>
      </c>
      <c r="P3" t="str">
        <f>IF(M3&gt;0.5,IF(M3&lt;0.54,"X",""),"")</f>
        <v/>
      </c>
      <c r="Q3" t="str">
        <f>IF(M3&lt;0.5,IF(M3&gt;0.45,"X",""),"")</f>
        <v/>
      </c>
      <c r="R3" s="57">
        <f>AT3</f>
        <v>0.65229216670382417</v>
      </c>
      <c r="S3" s="56">
        <f>(1-(NORMDIST(0.5,R3,P$1,1)))</f>
        <v>0.99999982309716895</v>
      </c>
      <c r="V3" t="s">
        <v>174</v>
      </c>
      <c r="Z3" t="s">
        <v>138</v>
      </c>
      <c r="AB3">
        <v>0.61799999999999999</v>
      </c>
      <c r="AC3">
        <v>0.153</v>
      </c>
      <c r="AD3">
        <v>0.05</v>
      </c>
      <c r="AF3" s="57">
        <f>AB3+IF($Z3="NOTSYD",regcalc!U$112*-0.5,regcalc!U$112*0.5)+output!E$4</f>
        <v>0.52954267515923581</v>
      </c>
      <c r="AG3" s="57">
        <f>AC3+IF($Z3="NOTSYD",regcalc!T$112*-0.5,regcalc!T$112*0.5)+output!E$5</f>
        <v>0.24166850028951942</v>
      </c>
      <c r="AH3" s="57">
        <f>AD3+IF($Z3="NOTSYD",regcalc!V$112*-0.5,regcalc!V$112*0.5)+output!E$6</f>
        <v>5.3749507817023735E-2</v>
      </c>
      <c r="AI3" s="57">
        <f>1-SUM(AF3:AH3)</f>
        <v>0.17503931673422113</v>
      </c>
      <c r="AK3" s="57">
        <f>IF($AI3&lt;0,AF3/SUM($AF3:$AH3),AF3)</f>
        <v>0.52954267515923581</v>
      </c>
      <c r="AL3" s="57">
        <f t="shared" ref="AL3:AL66" si="2">IF($AI3&lt;0,AG3/SUM($AF3:$AH3),AG3)</f>
        <v>0.24166850028951942</v>
      </c>
      <c r="AM3" s="57">
        <f t="shared" ref="AM3:AM66" si="3">IF($AI3&lt;0,AH3/SUM($AF3:$AH3),AH3)</f>
        <v>5.3749507817023735E-2</v>
      </c>
      <c r="AN3" s="57">
        <f>1-SUM(AK3:AM3)</f>
        <v>0.17503931673422113</v>
      </c>
      <c r="AP3">
        <f>AK3+($AM3*prefs!B$2)+($AN3*prefs!C$2)</f>
        <v>0.5736294304284888</v>
      </c>
      <c r="AQ3">
        <f>AL3+($AM3*prefs!B$3)+($AN3*prefs!C$3)</f>
        <v>0.30577624038795603</v>
      </c>
      <c r="AR3">
        <f>1-(AP3+AQ3)</f>
        <v>0.12059432918355517</v>
      </c>
      <c r="AT3">
        <f>AP3/(AP3+AQ3)</f>
        <v>0.65229216670382417</v>
      </c>
      <c r="AU3">
        <f>AQ3/(AP3+AQ3)</f>
        <v>0.34770783329617577</v>
      </c>
      <c r="AV3" s="56">
        <f>(1-(NORMDIST(0.5,AT3,P$1,1)))</f>
        <v>0.99999982309716895</v>
      </c>
      <c r="AX3">
        <f>AK3+(($AM3+$AN3)*0.2066)</f>
        <v>0.57681044631152301</v>
      </c>
      <c r="AY3">
        <f>AL3+(($AM3+$AN3)*0.2413)</f>
        <v>0.2968752436537348</v>
      </c>
      <c r="AZ3">
        <f>1-(AX3+AY3)</f>
        <v>0.12631431003474214</v>
      </c>
      <c r="BB3">
        <f>AX3/(AX3+AY3)</f>
        <v>0.66020360976091974</v>
      </c>
      <c r="BC3">
        <f>AY3/(AX3+AY3)</f>
        <v>0.3397963902390802</v>
      </c>
      <c r="BD3" s="74">
        <f>(1-(NORMDIST(0.5,BB3,P$1,1)))</f>
        <v>0.99999995764717686</v>
      </c>
    </row>
    <row r="4" spans="1:56" x14ac:dyDescent="0.25">
      <c r="A4" s="50" t="s">
        <v>31</v>
      </c>
      <c r="B4" t="s">
        <v>4</v>
      </c>
      <c r="C4">
        <v>0.42800000000000005</v>
      </c>
      <c r="E4">
        <f>C4+output!$E$10</f>
        <v>0.34474389079265222</v>
      </c>
      <c r="G4" t="s">
        <v>127</v>
      </c>
      <c r="H4" s="52">
        <f t="shared" ref="H4:H67" si="4">IF(G4="ALPVAC",1,IF(G4="LNPVAC",1,0))</f>
        <v>1</v>
      </c>
      <c r="I4" s="52">
        <f t="shared" ref="I4:I67" si="5">IF(G4="ALPSOPWIN",1,IF(G4="LNPSOPWIN",1,0))</f>
        <v>0</v>
      </c>
      <c r="J4" s="52">
        <f t="shared" ref="J4:J67" si="6">IF(G4="ALPSOPWIN",1,IF(G4="LNPSOPWIN",1,0))</f>
        <v>0</v>
      </c>
      <c r="K4" s="52">
        <f t="shared" ref="K4:K67" si="7">IF(J4=1,IF(Z4="NOTSYD",0,1),0)</f>
        <v>0</v>
      </c>
      <c r="L4" s="53">
        <f t="shared" ref="L4:L67" si="8">IF(B4="LNP",(-0.01*H4)+(0.009*I4)+(0.005*J4)+(0.008*K4),IF(B4="ALP",0-((-0.01*H4)+(0.009*I4)+(0.005*J4)+(0.008*K4)),0))</f>
        <v>0.01</v>
      </c>
      <c r="M4" s="55">
        <f>IF(Z4="NOTSYD",E4+L4-L$97+regcalc!P$114,E4+L4-L$97+regcalc!K$114)</f>
        <v>0.385096557560549</v>
      </c>
      <c r="N4" s="56">
        <f t="shared" ref="N4:N67" si="9">(1-(NORMDIST(0.5,M4,P$1,1)))</f>
        <v>6.0997333129475528E-5</v>
      </c>
      <c r="P4" t="str">
        <f t="shared" ref="P4:P67" si="10">IF(M4&gt;0.5,IF(M4&lt;0.54,"X",""),"")</f>
        <v/>
      </c>
      <c r="Q4" t="str">
        <f t="shared" ref="Q4:Q67" si="11">IF(M4&lt;0.5,IF(M4&gt;0.45,"X",""),"")</f>
        <v/>
      </c>
      <c r="R4" s="57">
        <f t="shared" ref="R4:R67" si="12">AT4</f>
        <v>0.36448481276012201</v>
      </c>
      <c r="S4" s="56">
        <f t="shared" ref="S4:S67" si="13">(1-(NORMDIST(0.5,R4,P$1,1)))</f>
        <v>2.9312599806319284E-6</v>
      </c>
      <c r="AB4">
        <v>0.33400000000000002</v>
      </c>
      <c r="AC4">
        <v>0.45600000000000002</v>
      </c>
      <c r="AD4">
        <v>6.5000000000000002E-2</v>
      </c>
      <c r="AF4" s="57">
        <f>AB4+IF($Z4="NOTSYD",regcalc!U$112*-0.5,regcalc!U$112*0.5)+output!E$4</f>
        <v>0.31165732484076442</v>
      </c>
      <c r="AG4" s="57">
        <f>AC4+IF($Z4="NOTSYD",regcalc!T$112*-0.5,regcalc!T$112*0.5)+output!E$5</f>
        <v>0.54033149971048067</v>
      </c>
      <c r="AH4" s="57">
        <f>AD4+IF($Z4="NOTSYD",regcalc!V$112*-0.5,regcalc!V$112*0.5)+output!E$6</f>
        <v>6.1650492182976253E-2</v>
      </c>
      <c r="AI4" s="57">
        <f t="shared" ref="AI4:AI67" si="14">1-SUM(AF4:AH4)</f>
        <v>8.6360683265778726E-2</v>
      </c>
      <c r="AK4" s="57">
        <f t="shared" ref="AK4:AK67" si="15">IF($AI4&lt;0,AF4/SUM($AF4:$AH4),AF4)</f>
        <v>0.31165732484076442</v>
      </c>
      <c r="AL4" s="57">
        <f t="shared" si="2"/>
        <v>0.54033149971048067</v>
      </c>
      <c r="AM4" s="57">
        <f t="shared" si="3"/>
        <v>6.1650492182976253E-2</v>
      </c>
      <c r="AN4" s="57">
        <f t="shared" ref="AN4:AN67" si="16">1-SUM(AK4:AM4)</f>
        <v>8.6360683265778726E-2</v>
      </c>
      <c r="AP4">
        <f>AK4+($AM4*prefs!B$2)+($AN4*prefs!C$2)</f>
        <v>0.33871366957151139</v>
      </c>
      <c r="AQ4">
        <f>AL4+($AM4*prefs!B$3)+($AN4*prefs!C$3)</f>
        <v>0.59058065961204409</v>
      </c>
      <c r="AR4">
        <f t="shared" ref="AR4:AR67" si="17">1-(AP4+AQ4)</f>
        <v>7.0705670816444521E-2</v>
      </c>
      <c r="AT4">
        <f t="shared" ref="AT4:AT67" si="18">AP4/(AP4+AQ4)</f>
        <v>0.36448481276012201</v>
      </c>
      <c r="AU4">
        <f t="shared" ref="AU4:AU67" si="19">AQ4/(AP4+AQ4)</f>
        <v>0.63551518723987799</v>
      </c>
      <c r="AV4" s="56">
        <f t="shared" ref="AV4:AV67" si="20">(1-(NORMDIST(0.5,AT4,P$1,1)))</f>
        <v>2.9312599806319284E-6</v>
      </c>
      <c r="AX4">
        <f t="shared" ref="AX4:AX67" si="21">AK4+(($AM4+$AN4)*0.2066)</f>
        <v>0.34223643368847717</v>
      </c>
      <c r="AY4">
        <f t="shared" ref="AY4:AY67" si="22">AL4+(($AM4+$AN4)*0.2413)</f>
        <v>0.57604659634626521</v>
      </c>
      <c r="AZ4">
        <f t="shared" ref="AZ4:AZ67" si="23">1-(AX4+AY4)</f>
        <v>8.1716969965257569E-2</v>
      </c>
      <c r="BB4">
        <f t="shared" ref="BB4:BB67" si="24">AX4/(AX4+AY4)</f>
        <v>0.37269166748679755</v>
      </c>
      <c r="BC4">
        <f t="shared" ref="BC4:BC67" si="25">AY4/(AX4+AY4)</f>
        <v>0.62730833251320239</v>
      </c>
      <c r="BD4" s="74">
        <f t="shared" ref="BD4:BD67" si="26">(1-(NORMDIST(0.5,BB4,P$1,1)))</f>
        <v>1.0365385549548911E-5</v>
      </c>
    </row>
    <row r="5" spans="1:56" x14ac:dyDescent="0.25">
      <c r="A5" t="s">
        <v>32</v>
      </c>
      <c r="B5" t="s">
        <v>3</v>
      </c>
      <c r="C5">
        <v>0.746</v>
      </c>
      <c r="E5">
        <f>C5+output!$E$10</f>
        <v>0.66274389079265217</v>
      </c>
      <c r="G5" t="s">
        <v>136</v>
      </c>
      <c r="H5" s="52">
        <f t="shared" si="4"/>
        <v>1</v>
      </c>
      <c r="I5" s="52">
        <f t="shared" si="5"/>
        <v>0</v>
      </c>
      <c r="J5" s="52">
        <f t="shared" si="6"/>
        <v>0</v>
      </c>
      <c r="K5" s="52">
        <f t="shared" si="7"/>
        <v>0</v>
      </c>
      <c r="L5" s="53">
        <f t="shared" si="8"/>
        <v>-0.01</v>
      </c>
      <c r="M5" s="55">
        <f>IF(Z5="NOTSYD",E5+L5-L$97+regcalc!P$114,E5+L5-L$97+regcalc!K$114)</f>
        <v>0.75340539853206556</v>
      </c>
      <c r="N5" s="56">
        <f t="shared" si="9"/>
        <v>1</v>
      </c>
      <c r="P5" t="str">
        <f t="shared" si="10"/>
        <v/>
      </c>
      <c r="Q5" t="str">
        <f t="shared" si="11"/>
        <v/>
      </c>
      <c r="R5" s="57">
        <f t="shared" si="12"/>
        <v>0.60313061191089257</v>
      </c>
      <c r="S5" s="56">
        <f t="shared" si="13"/>
        <v>0.99971807103500165</v>
      </c>
      <c r="Z5" t="s">
        <v>138</v>
      </c>
      <c r="AB5">
        <v>0.56299999999999994</v>
      </c>
      <c r="AC5">
        <v>0.11899999999999999</v>
      </c>
      <c r="AD5">
        <v>0.22500000000000001</v>
      </c>
      <c r="AF5" s="57">
        <f>AB5+IF($Z5="NOTSYD",regcalc!U$112*-0.5,regcalc!U$112*0.5)+output!E$4</f>
        <v>0.47454267515923571</v>
      </c>
      <c r="AG5" s="57">
        <f>AC5+IF($Z5="NOTSYD",regcalc!T$112*-0.5,regcalc!T$112*0.5)+output!E$5</f>
        <v>0.20766850028951941</v>
      </c>
      <c r="AH5" s="57">
        <f>AD5+IF($Z5="NOTSYD",regcalc!V$112*-0.5,regcalc!V$112*0.5)+output!E$6</f>
        <v>0.22874950781702375</v>
      </c>
      <c r="AI5" s="57">
        <f t="shared" si="14"/>
        <v>8.9039316734221163E-2</v>
      </c>
      <c r="AK5" s="57">
        <f t="shared" si="15"/>
        <v>0.47454267515923571</v>
      </c>
      <c r="AL5" s="57">
        <f t="shared" si="2"/>
        <v>0.20766850028951941</v>
      </c>
      <c r="AM5" s="57">
        <f t="shared" si="3"/>
        <v>0.22874950781702375</v>
      </c>
      <c r="AN5" s="57">
        <f t="shared" si="16"/>
        <v>8.9039316734221163E-2</v>
      </c>
      <c r="AP5">
        <f>AK5+($AM5*prefs!B$2)+($AN5*prefs!C$2)</f>
        <v>0.52738143042848873</v>
      </c>
      <c r="AQ5">
        <f>AL5+($AM5*prefs!B$3)+($AN5*prefs!C$3)</f>
        <v>0.34702524038795601</v>
      </c>
      <c r="AR5">
        <f t="shared" si="17"/>
        <v>0.12559332918355526</v>
      </c>
      <c r="AT5">
        <f t="shared" si="18"/>
        <v>0.60313061191089257</v>
      </c>
      <c r="AU5">
        <f t="shared" si="19"/>
        <v>0.39686938808910743</v>
      </c>
      <c r="AV5" s="56">
        <f t="shared" si="20"/>
        <v>0.99971807103500165</v>
      </c>
      <c r="AX5">
        <f t="shared" si="21"/>
        <v>0.5401978463115229</v>
      </c>
      <c r="AY5">
        <f t="shared" si="22"/>
        <v>0.28435094365373481</v>
      </c>
      <c r="AZ5">
        <f t="shared" si="23"/>
        <v>0.17545121003474229</v>
      </c>
      <c r="BB5">
        <f t="shared" si="24"/>
        <v>0.65514358020497987</v>
      </c>
      <c r="BC5">
        <f t="shared" si="25"/>
        <v>0.34485641979502013</v>
      </c>
      <c r="BD5" s="74">
        <f t="shared" si="26"/>
        <v>0.99999989349610807</v>
      </c>
    </row>
    <row r="6" spans="1:56" x14ac:dyDescent="0.25">
      <c r="A6" t="s">
        <v>33</v>
      </c>
      <c r="B6" t="s">
        <v>4</v>
      </c>
      <c r="C6">
        <v>0.45299999999999996</v>
      </c>
      <c r="E6">
        <f>C6+output!$E$10</f>
        <v>0.36974389079265213</v>
      </c>
      <c r="G6" t="s">
        <v>128</v>
      </c>
      <c r="H6" s="52">
        <f t="shared" si="4"/>
        <v>0</v>
      </c>
      <c r="I6" s="52">
        <f t="shared" si="5"/>
        <v>0</v>
      </c>
      <c r="J6" s="52">
        <f t="shared" si="6"/>
        <v>0</v>
      </c>
      <c r="K6" s="52">
        <f t="shared" si="7"/>
        <v>0</v>
      </c>
      <c r="L6" s="53">
        <f t="shared" si="8"/>
        <v>0</v>
      </c>
      <c r="M6" s="55">
        <f>IF(Z6="NOTSYD",E6+L6-L$97+regcalc!P$114,E6+L6-L$97+regcalc!K$114)</f>
        <v>0.4000965575605489</v>
      </c>
      <c r="N6" s="56"/>
      <c r="P6" t="str">
        <f t="shared" si="10"/>
        <v/>
      </c>
      <c r="Q6" t="str">
        <f t="shared" si="11"/>
        <v/>
      </c>
      <c r="R6" s="57">
        <f t="shared" si="12"/>
        <v>0.37874133754018907</v>
      </c>
      <c r="S6" s="56"/>
      <c r="AB6">
        <v>0.307</v>
      </c>
      <c r="AC6">
        <v>0.29899999999999999</v>
      </c>
      <c r="AD6">
        <v>0.311</v>
      </c>
      <c r="AF6" s="57">
        <f>AB6+IF($Z6="NOTSYD",regcalc!U$112*-0.5,regcalc!U$112*0.5)+output!E$4</f>
        <v>0.28465732484076439</v>
      </c>
      <c r="AG6" s="57">
        <f>AC6+IF($Z6="NOTSYD",regcalc!T$112*-0.5,regcalc!T$112*0.5)+output!E$5</f>
        <v>0.38333149971048058</v>
      </c>
      <c r="AH6" s="57">
        <f>AD6+IF($Z6="NOTSYD",regcalc!V$112*-0.5,regcalc!V$112*0.5)+output!E$6</f>
        <v>0.30765049218297624</v>
      </c>
      <c r="AI6" s="57">
        <f t="shared" si="14"/>
        <v>2.4360683265778782E-2</v>
      </c>
      <c r="AK6" s="57">
        <f t="shared" si="15"/>
        <v>0.28465732484076439</v>
      </c>
      <c r="AL6" s="57">
        <f t="shared" si="2"/>
        <v>0.38333149971048058</v>
      </c>
      <c r="AM6" s="57">
        <f t="shared" si="3"/>
        <v>0.30765049218297624</v>
      </c>
      <c r="AN6" s="57">
        <f t="shared" si="16"/>
        <v>2.4360683265778782E-2</v>
      </c>
      <c r="AP6">
        <f>AK6+($AM6*prefs!B$2)+($AN6*prefs!C$2)</f>
        <v>0.33611866957151132</v>
      </c>
      <c r="AQ6">
        <f>AL6+($AM6*prefs!B$3)+($AN6*prefs!C$3)</f>
        <v>0.55134365961204401</v>
      </c>
      <c r="AR6">
        <f t="shared" si="17"/>
        <v>0.11253767081644472</v>
      </c>
      <c r="AT6">
        <f t="shared" si="18"/>
        <v>0.37874133754018907</v>
      </c>
      <c r="AU6">
        <f t="shared" si="19"/>
        <v>0.62125866245981098</v>
      </c>
      <c r="AV6" s="56">
        <f t="shared" si="20"/>
        <v>2.5111649251563506E-5</v>
      </c>
      <c r="AX6">
        <f t="shared" si="21"/>
        <v>0.35325083368847721</v>
      </c>
      <c r="AY6">
        <f t="shared" si="22"/>
        <v>0.46344579634626515</v>
      </c>
      <c r="AZ6">
        <f t="shared" si="23"/>
        <v>0.18330336996525765</v>
      </c>
      <c r="BB6">
        <f t="shared" si="24"/>
        <v>0.43253617156893359</v>
      </c>
      <c r="BC6">
        <f t="shared" si="25"/>
        <v>0.56746382843106635</v>
      </c>
      <c r="BD6" s="74">
        <f t="shared" si="26"/>
        <v>1.2040917398297046E-2</v>
      </c>
    </row>
    <row r="7" spans="1:56" x14ac:dyDescent="0.25">
      <c r="A7" s="50" t="s">
        <v>34</v>
      </c>
      <c r="B7" t="s">
        <v>4</v>
      </c>
      <c r="C7">
        <v>0.39399999999999996</v>
      </c>
      <c r="E7">
        <f>C7+output!$E$10</f>
        <v>0.31074389079265213</v>
      </c>
      <c r="G7" t="s">
        <v>130</v>
      </c>
      <c r="H7" s="52">
        <f t="shared" si="4"/>
        <v>0</v>
      </c>
      <c r="I7" s="52">
        <f t="shared" si="5"/>
        <v>0</v>
      </c>
      <c r="J7" s="52">
        <f t="shared" si="6"/>
        <v>0</v>
      </c>
      <c r="K7" s="52">
        <f t="shared" si="7"/>
        <v>0</v>
      </c>
      <c r="L7" s="53">
        <f t="shared" si="8"/>
        <v>0</v>
      </c>
      <c r="M7" s="55">
        <f>IF(Z7="NOTSYD",E7+L7-L$97+regcalc!P$114,E7+L7-L$97+regcalc!K$114)</f>
        <v>0.34109655756054891</v>
      </c>
      <c r="N7" s="56">
        <f t="shared" si="9"/>
        <v>5.3819219858475265E-8</v>
      </c>
      <c r="P7" t="str">
        <f t="shared" si="10"/>
        <v/>
      </c>
      <c r="Q7" t="str">
        <f t="shared" si="11"/>
        <v/>
      </c>
      <c r="R7" s="57">
        <f t="shared" si="12"/>
        <v>0.33841250048622817</v>
      </c>
      <c r="S7" s="56">
        <f t="shared" si="13"/>
        <v>3.2753017187303612E-8</v>
      </c>
      <c r="AB7">
        <v>0.30299999999999999</v>
      </c>
      <c r="AC7">
        <v>0.47499999999999998</v>
      </c>
      <c r="AD7">
        <v>5.1999999999999998E-2</v>
      </c>
      <c r="AF7" s="57">
        <f>AB7+IF($Z7="NOTSYD",regcalc!U$112*-0.5,regcalc!U$112*0.5)+output!E$4</f>
        <v>0.28065732484076439</v>
      </c>
      <c r="AG7" s="57">
        <f>AC7+IF($Z7="NOTSYD",regcalc!T$112*-0.5,regcalc!T$112*0.5)+output!E$5</f>
        <v>0.55933149971048057</v>
      </c>
      <c r="AH7" s="57">
        <f>AD7+IF($Z7="NOTSYD",regcalc!V$112*-0.5,regcalc!V$112*0.5)+output!E$6</f>
        <v>4.8650492182976249E-2</v>
      </c>
      <c r="AI7" s="57">
        <f t="shared" si="14"/>
        <v>0.11136068326577875</v>
      </c>
      <c r="AK7" s="57">
        <f t="shared" si="15"/>
        <v>0.28065732484076439</v>
      </c>
      <c r="AL7" s="57">
        <f t="shared" si="2"/>
        <v>0.55933149971048057</v>
      </c>
      <c r="AM7" s="57">
        <f t="shared" si="3"/>
        <v>4.8650492182976249E-2</v>
      </c>
      <c r="AN7" s="57">
        <f t="shared" si="16"/>
        <v>0.11136068326577875</v>
      </c>
      <c r="AP7">
        <f>AK7+($AM7*prefs!B$2)+($AN7*prefs!C$2)</f>
        <v>0.31088816957151133</v>
      </c>
      <c r="AQ7">
        <f>AL7+($AM7*prefs!B$3)+($AN7*prefs!C$3)</f>
        <v>0.60777815961204396</v>
      </c>
      <c r="AR7">
        <f t="shared" si="17"/>
        <v>8.1333670816444714E-2</v>
      </c>
      <c r="AT7">
        <f t="shared" si="18"/>
        <v>0.33841250048622817</v>
      </c>
      <c r="AU7">
        <f t="shared" si="19"/>
        <v>0.66158749951377183</v>
      </c>
      <c r="AV7" s="56">
        <f t="shared" si="20"/>
        <v>3.2753017187303612E-8</v>
      </c>
      <c r="AX7">
        <f t="shared" si="21"/>
        <v>0.31371563368847716</v>
      </c>
      <c r="AY7">
        <f t="shared" si="22"/>
        <v>0.59794219634626511</v>
      </c>
      <c r="AZ7">
        <f t="shared" si="23"/>
        <v>8.8342169965257789E-2</v>
      </c>
      <c r="BB7">
        <f t="shared" si="24"/>
        <v>0.34411554790959437</v>
      </c>
      <c r="BC7">
        <f t="shared" si="25"/>
        <v>0.65588445209040569</v>
      </c>
      <c r="BD7" s="74">
        <f t="shared" si="26"/>
        <v>9.3214104657235453E-8</v>
      </c>
    </row>
    <row r="8" spans="1:56" x14ac:dyDescent="0.25">
      <c r="A8" t="s">
        <v>35</v>
      </c>
      <c r="B8" t="s">
        <v>3</v>
      </c>
      <c r="C8">
        <v>0.75800000000000001</v>
      </c>
      <c r="E8">
        <f>C8+output!$E$10</f>
        <v>0.67474389079265218</v>
      </c>
      <c r="G8" t="s">
        <v>126</v>
      </c>
      <c r="H8" s="52">
        <f t="shared" si="4"/>
        <v>0</v>
      </c>
      <c r="I8" s="52">
        <f t="shared" si="5"/>
        <v>0</v>
      </c>
      <c r="J8" s="52">
        <f t="shared" si="6"/>
        <v>0</v>
      </c>
      <c r="K8" s="52">
        <f t="shared" si="7"/>
        <v>0</v>
      </c>
      <c r="L8" s="53">
        <f t="shared" si="8"/>
        <v>0</v>
      </c>
      <c r="M8" s="55">
        <f>IF(Z8="NOTSYD",E8+L8-L$97+regcalc!P$114,E8+L8-L$97+regcalc!K$114)</f>
        <v>0.77540539853206558</v>
      </c>
      <c r="N8" s="56">
        <f t="shared" si="9"/>
        <v>1</v>
      </c>
      <c r="P8" t="str">
        <f t="shared" si="10"/>
        <v/>
      </c>
      <c r="Q8" t="str">
        <f t="shared" si="11"/>
        <v/>
      </c>
      <c r="R8" s="57">
        <f t="shared" si="12"/>
        <v>0.65534487509654349</v>
      </c>
      <c r="S8" s="56">
        <f t="shared" si="13"/>
        <v>0.99999989727787408</v>
      </c>
      <c r="Z8" t="s">
        <v>138</v>
      </c>
      <c r="AB8">
        <v>0.72</v>
      </c>
      <c r="AC8">
        <v>0.215</v>
      </c>
      <c r="AD8">
        <v>5.8999999999999997E-2</v>
      </c>
      <c r="AF8" s="57">
        <f>AB8+IF($Z8="NOTSYD",regcalc!U$112*-0.5,regcalc!U$112*0.5)+output!E$4</f>
        <v>0.63154267515923568</v>
      </c>
      <c r="AG8" s="57">
        <f>AC8+IF($Z8="NOTSYD",regcalc!T$112*-0.5,regcalc!T$112*0.5)+output!E$5</f>
        <v>0.30366850028951942</v>
      </c>
      <c r="AH8" s="57">
        <f>AD8+IF($Z8="NOTSYD",regcalc!V$112*-0.5,regcalc!V$112*0.5)+output!E$6</f>
        <v>6.2749507817023736E-2</v>
      </c>
      <c r="AI8" s="57">
        <f t="shared" si="14"/>
        <v>2.0393167342211971E-3</v>
      </c>
      <c r="AK8" s="57">
        <f t="shared" si="15"/>
        <v>0.63154267515923568</v>
      </c>
      <c r="AL8" s="57">
        <f t="shared" si="2"/>
        <v>0.30366850028951942</v>
      </c>
      <c r="AM8" s="57">
        <f t="shared" si="3"/>
        <v>6.2749507817023736E-2</v>
      </c>
      <c r="AN8" s="57">
        <f t="shared" si="16"/>
        <v>2.0393167342211971E-3</v>
      </c>
      <c r="AP8">
        <f>AK8+($AM8*prefs!B$2)+($AN8*prefs!C$2)</f>
        <v>0.64143693042848871</v>
      </c>
      <c r="AQ8">
        <f>AL8+($AM8*prefs!B$3)+($AN8*prefs!C$3)</f>
        <v>0.33734074038795603</v>
      </c>
      <c r="AR8">
        <f t="shared" si="17"/>
        <v>2.1222329183555266E-2</v>
      </c>
      <c r="AT8">
        <f t="shared" si="18"/>
        <v>0.65534487509654349</v>
      </c>
      <c r="AU8">
        <f t="shared" si="19"/>
        <v>0.34465512490345657</v>
      </c>
      <c r="AV8" s="56">
        <f t="shared" si="20"/>
        <v>0.99999989727787408</v>
      </c>
      <c r="AX8">
        <f t="shared" si="21"/>
        <v>0.6449280463115229</v>
      </c>
      <c r="AY8">
        <f t="shared" si="22"/>
        <v>0.31930204365373482</v>
      </c>
      <c r="AZ8">
        <f t="shared" si="23"/>
        <v>3.576991003474228E-2</v>
      </c>
      <c r="BB8">
        <f t="shared" si="24"/>
        <v>0.66885285267830663</v>
      </c>
      <c r="BC8">
        <f t="shared" si="25"/>
        <v>0.33114714732169337</v>
      </c>
      <c r="BD8" s="74">
        <f t="shared" si="26"/>
        <v>0.99999999178955734</v>
      </c>
    </row>
    <row r="9" spans="1:56" x14ac:dyDescent="0.25">
      <c r="A9" t="s">
        <v>36</v>
      </c>
      <c r="B9" t="s">
        <v>3</v>
      </c>
      <c r="C9">
        <v>0.73699999999999999</v>
      </c>
      <c r="E9">
        <f>C9+output!$E$10</f>
        <v>0.65374389079265216</v>
      </c>
      <c r="G9" t="s">
        <v>135</v>
      </c>
      <c r="H9" s="52">
        <f t="shared" si="4"/>
        <v>0</v>
      </c>
      <c r="I9" s="52">
        <f t="shared" si="5"/>
        <v>1</v>
      </c>
      <c r="J9" s="52">
        <f t="shared" si="6"/>
        <v>1</v>
      </c>
      <c r="K9" s="52">
        <f t="shared" si="7"/>
        <v>0</v>
      </c>
      <c r="L9" s="53">
        <f t="shared" si="8"/>
        <v>1.3999999999999999E-2</v>
      </c>
      <c r="M9" s="55">
        <f>IF(Z9="NOTSYD",E9+L9-L$97+regcalc!P$114,E9+L9-L$97+regcalc!K$114)</f>
        <v>0.76840539853206558</v>
      </c>
      <c r="N9" s="56">
        <f t="shared" si="9"/>
        <v>1</v>
      </c>
      <c r="P9" t="str">
        <f t="shared" si="10"/>
        <v/>
      </c>
      <c r="Q9" t="str">
        <f t="shared" si="11"/>
        <v/>
      </c>
      <c r="R9" s="57">
        <f t="shared" si="12"/>
        <v>0.63817742027964675</v>
      </c>
      <c r="S9" s="56">
        <f t="shared" si="13"/>
        <v>0.99999808412956381</v>
      </c>
      <c r="Z9" t="s">
        <v>138</v>
      </c>
      <c r="AB9">
        <v>0.67300000000000004</v>
      </c>
      <c r="AC9">
        <v>0.20899999999999999</v>
      </c>
      <c r="AD9">
        <v>6.2E-2</v>
      </c>
      <c r="AF9" s="57">
        <f>AB9+IF($Z9="NOTSYD",regcalc!U$112*-0.5,regcalc!U$112*0.5)+output!E$4</f>
        <v>0.58454267515923575</v>
      </c>
      <c r="AG9" s="57">
        <f>AC9+IF($Z9="NOTSYD",regcalc!T$112*-0.5,regcalc!T$112*0.5)+output!E$5</f>
        <v>0.29766850028951941</v>
      </c>
      <c r="AH9" s="57">
        <f>AD9+IF($Z9="NOTSYD",regcalc!V$112*-0.5,regcalc!V$112*0.5)+output!E$6</f>
        <v>6.5749507817023739E-2</v>
      </c>
      <c r="AI9" s="57">
        <f t="shared" si="14"/>
        <v>5.203931673422113E-2</v>
      </c>
      <c r="AK9" s="57">
        <f t="shared" si="15"/>
        <v>0.58454267515923575</v>
      </c>
      <c r="AL9" s="57">
        <f t="shared" si="2"/>
        <v>0.29766850028951941</v>
      </c>
      <c r="AM9" s="57">
        <f t="shared" si="3"/>
        <v>6.5749507817023739E-2</v>
      </c>
      <c r="AN9" s="57">
        <f t="shared" si="16"/>
        <v>5.203931673422113E-2</v>
      </c>
      <c r="AP9">
        <f>AK9+($AM9*prefs!B$2)+($AN9*prefs!C$2)</f>
        <v>0.60516493042848885</v>
      </c>
      <c r="AQ9">
        <f>AL9+($AM9*prefs!B$3)+($AN9*prefs!C$3)</f>
        <v>0.34310574038795599</v>
      </c>
      <c r="AR9">
        <f t="shared" si="17"/>
        <v>5.1729329183555217E-2</v>
      </c>
      <c r="AT9">
        <f t="shared" si="18"/>
        <v>0.63817742027964675</v>
      </c>
      <c r="AU9">
        <f t="shared" si="19"/>
        <v>0.36182257972035331</v>
      </c>
      <c r="AV9" s="56">
        <f t="shared" si="20"/>
        <v>0.99999808412956381</v>
      </c>
      <c r="AX9">
        <f t="shared" si="21"/>
        <v>0.60887784631152297</v>
      </c>
      <c r="AY9">
        <f t="shared" si="22"/>
        <v>0.32609094365373481</v>
      </c>
      <c r="AZ9">
        <f t="shared" si="23"/>
        <v>6.5031210034742215E-2</v>
      </c>
      <c r="BB9">
        <f t="shared" si="24"/>
        <v>0.651227990545169</v>
      </c>
      <c r="BC9">
        <f t="shared" si="25"/>
        <v>0.348772009454831</v>
      </c>
      <c r="BD9" s="74">
        <f t="shared" si="26"/>
        <v>0.99999978669597589</v>
      </c>
    </row>
    <row r="10" spans="1:56" x14ac:dyDescent="0.25">
      <c r="A10" t="s">
        <v>37</v>
      </c>
      <c r="B10" t="s">
        <v>3</v>
      </c>
      <c r="C10">
        <v>0.78299999999999992</v>
      </c>
      <c r="E10">
        <f>C10+output!$E$10</f>
        <v>0.69974389079265209</v>
      </c>
      <c r="G10" t="s">
        <v>134</v>
      </c>
      <c r="H10" s="52">
        <f t="shared" si="4"/>
        <v>0</v>
      </c>
      <c r="I10" s="52">
        <f t="shared" si="5"/>
        <v>0</v>
      </c>
      <c r="J10" s="52">
        <f t="shared" si="6"/>
        <v>0</v>
      </c>
      <c r="K10" s="52">
        <f t="shared" si="7"/>
        <v>0</v>
      </c>
      <c r="L10" s="53">
        <f t="shared" si="8"/>
        <v>0</v>
      </c>
      <c r="M10" s="55">
        <f>IF(Z10="NOTSYD",E10+L10-L$97+regcalc!P$114,E10+L10-L$97+regcalc!K$114)</f>
        <v>0.73009655756054892</v>
      </c>
      <c r="N10" s="56">
        <f t="shared" si="9"/>
        <v>0.99999999999999289</v>
      </c>
      <c r="P10" t="str">
        <f t="shared" si="10"/>
        <v/>
      </c>
      <c r="Q10" t="str">
        <f t="shared" si="11"/>
        <v/>
      </c>
      <c r="R10" s="57">
        <f t="shared" si="12"/>
        <v>0.692289663453721</v>
      </c>
      <c r="S10" s="56">
        <f t="shared" si="13"/>
        <v>0.99999999993606514</v>
      </c>
      <c r="AB10">
        <v>0.67700000000000005</v>
      </c>
      <c r="AC10">
        <v>0.16200000000000001</v>
      </c>
      <c r="AD10">
        <v>9.9000000000000005E-2</v>
      </c>
      <c r="AF10" s="57">
        <f>AB10+IF($Z10="NOTSYD",regcalc!U$112*-0.5,regcalc!U$112*0.5)+output!E$4</f>
        <v>0.65465732484076433</v>
      </c>
      <c r="AG10" s="57">
        <f>AC10+IF($Z10="NOTSYD",regcalc!T$112*-0.5,regcalc!T$112*0.5)+output!E$5</f>
        <v>0.24633149971048063</v>
      </c>
      <c r="AH10" s="57">
        <f>AD10+IF($Z10="NOTSYD",regcalc!V$112*-0.5,regcalc!V$112*0.5)+output!E$6</f>
        <v>9.5650492182976249E-2</v>
      </c>
      <c r="AI10" s="57">
        <f t="shared" si="14"/>
        <v>3.3606832657787633E-3</v>
      </c>
      <c r="AK10" s="57">
        <f t="shared" si="15"/>
        <v>0.65465732484076433</v>
      </c>
      <c r="AL10" s="57">
        <f t="shared" si="2"/>
        <v>0.24633149971048063</v>
      </c>
      <c r="AM10" s="57">
        <f t="shared" si="3"/>
        <v>9.5650492182976249E-2</v>
      </c>
      <c r="AN10" s="57">
        <f t="shared" si="16"/>
        <v>3.3606832657787633E-3</v>
      </c>
      <c r="AP10">
        <f>AK10+($AM10*prefs!B$2)+($AN10*prefs!C$2)</f>
        <v>0.6697911695715113</v>
      </c>
      <c r="AQ10">
        <f>AL10+($AM10*prefs!B$3)+($AN10*prefs!C$3)</f>
        <v>0.29771015961204406</v>
      </c>
      <c r="AR10">
        <f t="shared" si="17"/>
        <v>3.2498670816444641E-2</v>
      </c>
      <c r="AT10">
        <f t="shared" si="18"/>
        <v>0.692289663453721</v>
      </c>
      <c r="AU10">
        <f t="shared" si="19"/>
        <v>0.307710336546279</v>
      </c>
      <c r="AV10" s="56">
        <f t="shared" si="20"/>
        <v>0.99999999993606514</v>
      </c>
      <c r="AX10">
        <f t="shared" si="21"/>
        <v>0.67511303368847708</v>
      </c>
      <c r="AY10">
        <f t="shared" si="22"/>
        <v>0.27022289634626523</v>
      </c>
      <c r="AZ10">
        <f t="shared" si="23"/>
        <v>5.4664069965257633E-2</v>
      </c>
      <c r="BB10">
        <f t="shared" si="24"/>
        <v>0.71415145900956689</v>
      </c>
      <c r="BC10">
        <f t="shared" si="25"/>
        <v>0.28584854099043305</v>
      </c>
      <c r="BD10" s="74">
        <f t="shared" si="26"/>
        <v>0.99999999999959865</v>
      </c>
    </row>
    <row r="11" spans="1:56" x14ac:dyDescent="0.25">
      <c r="A11" t="s">
        <v>38</v>
      </c>
      <c r="B11" t="s">
        <v>3</v>
      </c>
      <c r="C11">
        <v>0.68500000000000005</v>
      </c>
      <c r="E11">
        <f>C11+output!$E$10</f>
        <v>0.60174389079265223</v>
      </c>
      <c r="G11" t="s">
        <v>126</v>
      </c>
      <c r="H11" s="52">
        <f t="shared" si="4"/>
        <v>0</v>
      </c>
      <c r="I11" s="52">
        <f t="shared" si="5"/>
        <v>0</v>
      </c>
      <c r="J11" s="52">
        <f t="shared" si="6"/>
        <v>0</v>
      </c>
      <c r="K11" s="52">
        <f t="shared" si="7"/>
        <v>0</v>
      </c>
      <c r="L11" s="53">
        <f t="shared" si="8"/>
        <v>0</v>
      </c>
      <c r="M11" s="55">
        <f>IF(Z11="NOTSYD",E11+L11-L$97+regcalc!P$114,E11+L11-L$97+regcalc!K$114)</f>
        <v>0.70240539853206563</v>
      </c>
      <c r="N11" s="56">
        <f t="shared" si="9"/>
        <v>0.999999999993468</v>
      </c>
      <c r="P11" t="str">
        <f t="shared" si="10"/>
        <v/>
      </c>
      <c r="Q11" t="str">
        <f t="shared" si="11"/>
        <v/>
      </c>
      <c r="R11" s="57">
        <f t="shared" si="12"/>
        <v>0.57796126427159189</v>
      </c>
      <c r="S11" s="56">
        <f t="shared" si="13"/>
        <v>0.99543075146867088</v>
      </c>
      <c r="Z11" t="s">
        <v>138</v>
      </c>
      <c r="AB11">
        <v>0.58899999999999997</v>
      </c>
      <c r="AC11">
        <v>0.221</v>
      </c>
      <c r="AD11">
        <v>0.121</v>
      </c>
      <c r="AF11" s="57">
        <f>AB11+IF($Z11="NOTSYD",regcalc!U$112*-0.5,regcalc!U$112*0.5)+output!E$4</f>
        <v>0.50054267515923567</v>
      </c>
      <c r="AG11" s="57">
        <f>AC11+IF($Z11="NOTSYD",regcalc!T$112*-0.5,regcalc!T$112*0.5)+output!E$5</f>
        <v>0.30966850028951942</v>
      </c>
      <c r="AH11" s="57">
        <f>AD11+IF($Z11="NOTSYD",regcalc!V$112*-0.5,regcalc!V$112*0.5)+output!E$6</f>
        <v>0.12474950781702374</v>
      </c>
      <c r="AI11" s="57">
        <f t="shared" si="14"/>
        <v>6.5039316734221142E-2</v>
      </c>
      <c r="AK11" s="57">
        <f t="shared" si="15"/>
        <v>0.50054267515923567</v>
      </c>
      <c r="AL11" s="57">
        <f t="shared" si="2"/>
        <v>0.30966850028951942</v>
      </c>
      <c r="AM11" s="57">
        <f t="shared" si="3"/>
        <v>0.12474950781702374</v>
      </c>
      <c r="AN11" s="57">
        <f t="shared" si="16"/>
        <v>6.5039316734221142E-2</v>
      </c>
      <c r="AP11">
        <f>AK11+($AM11*prefs!B$2)+($AN11*prefs!C$2)</f>
        <v>0.53274543042848865</v>
      </c>
      <c r="AQ11">
        <f>AL11+($AM11*prefs!B$3)+($AN11*prefs!C$3)</f>
        <v>0.38902124038795599</v>
      </c>
      <c r="AR11">
        <f t="shared" si="17"/>
        <v>7.82333291835553E-2</v>
      </c>
      <c r="AT11">
        <f t="shared" si="18"/>
        <v>0.57796126427159189</v>
      </c>
      <c r="AU11">
        <f t="shared" si="19"/>
        <v>0.42203873572840805</v>
      </c>
      <c r="AV11" s="56">
        <f t="shared" si="20"/>
        <v>0.99543075146867088</v>
      </c>
      <c r="AX11">
        <f t="shared" si="21"/>
        <v>0.53975304631152288</v>
      </c>
      <c r="AY11">
        <f t="shared" si="22"/>
        <v>0.35546454365373481</v>
      </c>
      <c r="AZ11">
        <f t="shared" si="23"/>
        <v>0.10478241003474231</v>
      </c>
      <c r="BB11">
        <f t="shared" si="24"/>
        <v>0.60292944683143468</v>
      </c>
      <c r="BC11">
        <f t="shared" si="25"/>
        <v>0.39707055316856538</v>
      </c>
      <c r="BD11" s="74">
        <f t="shared" si="26"/>
        <v>0.99971096711405871</v>
      </c>
    </row>
    <row r="12" spans="1:56" x14ac:dyDescent="0.25">
      <c r="A12" s="50" t="s">
        <v>39</v>
      </c>
      <c r="B12" t="s">
        <v>4</v>
      </c>
      <c r="C12">
        <v>0.45899999999999996</v>
      </c>
      <c r="E12">
        <f>C12+output!$E$10</f>
        <v>0.37574389079265214</v>
      </c>
      <c r="G12" t="s">
        <v>130</v>
      </c>
      <c r="H12" s="52">
        <f t="shared" si="4"/>
        <v>0</v>
      </c>
      <c r="I12" s="52">
        <f t="shared" si="5"/>
        <v>0</v>
      </c>
      <c r="J12" s="52">
        <f t="shared" si="6"/>
        <v>0</v>
      </c>
      <c r="K12" s="52">
        <f t="shared" si="7"/>
        <v>0</v>
      </c>
      <c r="L12" s="53">
        <f t="shared" si="8"/>
        <v>0</v>
      </c>
      <c r="M12" s="55">
        <f>IF(Z12="NOTSYD",E12+L12-L$97+regcalc!P$114,E12+L12-L$97+regcalc!K$114)</f>
        <v>0.40609655756054891</v>
      </c>
      <c r="N12" s="56">
        <f t="shared" si="9"/>
        <v>8.4504057995937742E-4</v>
      </c>
      <c r="P12" t="str">
        <f t="shared" si="10"/>
        <v/>
      </c>
      <c r="Q12" t="str">
        <f t="shared" si="11"/>
        <v/>
      </c>
      <c r="R12" s="57">
        <f t="shared" si="12"/>
        <v>0.38853520582610884</v>
      </c>
      <c r="S12" s="56">
        <f t="shared" si="13"/>
        <v>9.6846648175330508E-5</v>
      </c>
      <c r="AB12">
        <v>0.36099999999999999</v>
      </c>
      <c r="AC12">
        <v>0.443</v>
      </c>
      <c r="AD12">
        <v>5.6000000000000001E-2</v>
      </c>
      <c r="AF12" s="57">
        <f>AB12+IF($Z12="NOTSYD",regcalc!U$112*-0.5,regcalc!U$112*0.5)+output!E$4</f>
        <v>0.33865732484076438</v>
      </c>
      <c r="AG12" s="57">
        <f>AC12+IF($Z12="NOTSYD",regcalc!T$112*-0.5,regcalc!T$112*0.5)+output!E$5</f>
        <v>0.52733149971048054</v>
      </c>
      <c r="AH12" s="57">
        <f>AD12+IF($Z12="NOTSYD",regcalc!V$112*-0.5,regcalc!V$112*0.5)+output!E$6</f>
        <v>5.2650492182976252E-2</v>
      </c>
      <c r="AI12" s="57">
        <f t="shared" si="14"/>
        <v>8.1360683265778833E-2</v>
      </c>
      <c r="AK12" s="57">
        <f t="shared" si="15"/>
        <v>0.33865732484076438</v>
      </c>
      <c r="AL12" s="57">
        <f t="shared" si="2"/>
        <v>0.52733149971048054</v>
      </c>
      <c r="AM12" s="57">
        <f t="shared" si="3"/>
        <v>5.2650492182976252E-2</v>
      </c>
      <c r="AN12" s="57">
        <f t="shared" si="16"/>
        <v>8.1360683265778833E-2</v>
      </c>
      <c r="AP12">
        <f>AK12+($AM12*prefs!B$2)+($AN12*prefs!C$2)</f>
        <v>0.3633271695715114</v>
      </c>
      <c r="AQ12">
        <f>AL12+($AM12*prefs!B$3)+($AN12*prefs!C$3)</f>
        <v>0.57179315961204402</v>
      </c>
      <c r="AR12">
        <f t="shared" si="17"/>
        <v>6.4879670816444523E-2</v>
      </c>
      <c r="AT12">
        <f t="shared" si="18"/>
        <v>0.38853520582610884</v>
      </c>
      <c r="AU12">
        <f t="shared" si="19"/>
        <v>0.6114647941738911</v>
      </c>
      <c r="AV12" s="56">
        <f t="shared" si="20"/>
        <v>9.6846648175330508E-5</v>
      </c>
      <c r="AX12">
        <f t="shared" si="21"/>
        <v>0.36634403368847718</v>
      </c>
      <c r="AY12">
        <f t="shared" si="22"/>
        <v>0.5596683963462652</v>
      </c>
      <c r="AZ12">
        <f t="shared" si="23"/>
        <v>7.3987569965257682E-2</v>
      </c>
      <c r="BB12">
        <f t="shared" si="24"/>
        <v>0.39561459631241946</v>
      </c>
      <c r="BC12">
        <f t="shared" si="25"/>
        <v>0.60438540368758054</v>
      </c>
      <c r="BD12" s="74">
        <f t="shared" si="26"/>
        <v>2.4116169608745519E-4</v>
      </c>
    </row>
    <row r="13" spans="1:56" x14ac:dyDescent="0.25">
      <c r="A13" t="s">
        <v>40</v>
      </c>
      <c r="B13" t="s">
        <v>3</v>
      </c>
      <c r="C13">
        <v>0.55400000000000005</v>
      </c>
      <c r="E13">
        <f>C13+output!$E$10</f>
        <v>0.47074389079265222</v>
      </c>
      <c r="G13" t="s">
        <v>135</v>
      </c>
      <c r="H13" s="52">
        <f t="shared" si="4"/>
        <v>0</v>
      </c>
      <c r="I13" s="52">
        <f t="shared" si="5"/>
        <v>1</v>
      </c>
      <c r="J13" s="52">
        <f t="shared" si="6"/>
        <v>1</v>
      </c>
      <c r="K13" s="52">
        <f t="shared" si="7"/>
        <v>1</v>
      </c>
      <c r="L13" s="53">
        <f t="shared" si="8"/>
        <v>2.1999999999999999E-2</v>
      </c>
      <c r="M13" s="55">
        <f>IF(Z13="NOTSYD",E13+L13-L$97+regcalc!P$114,E13+L13-L$97+regcalc!K$114)</f>
        <v>0.52309655756054907</v>
      </c>
      <c r="N13" s="56">
        <f t="shared" si="9"/>
        <v>0.78002893204712498</v>
      </c>
      <c r="P13" t="str">
        <f t="shared" si="10"/>
        <v>X</v>
      </c>
      <c r="R13" s="57">
        <f t="shared" si="12"/>
        <v>0.50085434272385332</v>
      </c>
      <c r="S13" s="56">
        <f t="shared" si="13"/>
        <v>0.51139506492432063</v>
      </c>
      <c r="AB13">
        <v>0.39600000000000002</v>
      </c>
      <c r="AC13">
        <v>0.22500000000000001</v>
      </c>
      <c r="AD13">
        <v>0.17</v>
      </c>
      <c r="AF13" s="57">
        <f>AB13+IF($Z13="NOTSYD",regcalc!U$112*-0.5,regcalc!U$112*0.5)+output!E$4</f>
        <v>0.37365732484076442</v>
      </c>
      <c r="AG13" s="57">
        <f>AC13+IF($Z13="NOTSYD",regcalc!T$112*-0.5,regcalc!T$112*0.5)+output!E$5</f>
        <v>0.30933149971048063</v>
      </c>
      <c r="AH13" s="57">
        <f>AD13+IF($Z13="NOTSYD",regcalc!V$112*-0.5,regcalc!V$112*0.5)+output!E$6</f>
        <v>0.16665049218297628</v>
      </c>
      <c r="AI13" s="57">
        <f t="shared" si="14"/>
        <v>0.15036068326577867</v>
      </c>
      <c r="AK13" s="57">
        <f t="shared" si="15"/>
        <v>0.37365732484076442</v>
      </c>
      <c r="AL13" s="57">
        <f t="shared" si="2"/>
        <v>0.30933149971048063</v>
      </c>
      <c r="AM13" s="57">
        <f t="shared" si="3"/>
        <v>0.16665049218297628</v>
      </c>
      <c r="AN13" s="57">
        <f t="shared" si="16"/>
        <v>0.15036068326577867</v>
      </c>
      <c r="AP13">
        <f>AK13+($AM13*prefs!B$2)+($AN13*prefs!C$2)</f>
        <v>0.42972066957151134</v>
      </c>
      <c r="AQ13">
        <f>AL13+($AM13*prefs!B$3)+($AN13*prefs!C$3)</f>
        <v>0.42825465961204401</v>
      </c>
      <c r="AR13">
        <f t="shared" si="17"/>
        <v>0.14202467081644465</v>
      </c>
      <c r="AT13">
        <f t="shared" si="18"/>
        <v>0.50085434272385332</v>
      </c>
      <c r="AU13">
        <f t="shared" si="19"/>
        <v>0.49914565727614663</v>
      </c>
      <c r="AV13" s="56">
        <f t="shared" si="20"/>
        <v>0.51139506492432063</v>
      </c>
      <c r="AX13">
        <f t="shared" si="21"/>
        <v>0.43915183368847721</v>
      </c>
      <c r="AY13">
        <f t="shared" si="22"/>
        <v>0.3858262963462652</v>
      </c>
      <c r="AZ13">
        <f t="shared" si="23"/>
        <v>0.17502186996525759</v>
      </c>
      <c r="BB13">
        <f t="shared" si="24"/>
        <v>0.53231936423573212</v>
      </c>
      <c r="BC13">
        <f t="shared" si="25"/>
        <v>0.46768063576426788</v>
      </c>
      <c r="BD13" s="74">
        <f t="shared" si="26"/>
        <v>0.86007991239375736</v>
      </c>
    </row>
    <row r="14" spans="1:56" x14ac:dyDescent="0.25">
      <c r="A14" s="50" t="s">
        <v>41</v>
      </c>
      <c r="B14" t="s">
        <v>4</v>
      </c>
      <c r="C14">
        <v>0.48100000000000004</v>
      </c>
      <c r="E14">
        <f>C14+output!$E$10</f>
        <v>0.39774389079265221</v>
      </c>
      <c r="G14" t="s">
        <v>127</v>
      </c>
      <c r="H14" s="52">
        <f t="shared" si="4"/>
        <v>1</v>
      </c>
      <c r="I14" s="52">
        <f t="shared" si="5"/>
        <v>0</v>
      </c>
      <c r="J14" s="52">
        <f t="shared" si="6"/>
        <v>0</v>
      </c>
      <c r="K14" s="52">
        <f t="shared" si="7"/>
        <v>0</v>
      </c>
      <c r="L14" s="53">
        <f t="shared" si="8"/>
        <v>0.01</v>
      </c>
      <c r="M14" s="55">
        <f>IF(Z14="NOTSYD",E14+L14-L$97+regcalc!P$114,E14+L14-L$97+regcalc!K$114)</f>
        <v>0.43809655756054899</v>
      </c>
      <c r="N14" s="56">
        <f t="shared" si="9"/>
        <v>1.9231052348447464E-2</v>
      </c>
      <c r="P14" t="str">
        <f t="shared" si="10"/>
        <v/>
      </c>
      <c r="Q14" t="str">
        <f t="shared" si="11"/>
        <v/>
      </c>
      <c r="R14" s="57">
        <f t="shared" si="12"/>
        <v>0.41319951725558984</v>
      </c>
      <c r="S14" s="56">
        <f t="shared" si="13"/>
        <v>1.8516339333708443E-3</v>
      </c>
      <c r="AB14">
        <v>0.41799999999999998</v>
      </c>
      <c r="AC14">
        <v>0.45400000000000001</v>
      </c>
      <c r="AD14">
        <v>7.8E-2</v>
      </c>
      <c r="AF14" s="57">
        <f>AB14+IF($Z14="NOTSYD",regcalc!U$112*-0.5,regcalc!U$112*0.5)+output!E$4</f>
        <v>0.39565732484076438</v>
      </c>
      <c r="AG14" s="57">
        <f>AC14+IF($Z14="NOTSYD",regcalc!T$112*-0.5,regcalc!T$112*0.5)+output!E$5</f>
        <v>0.53833149971048067</v>
      </c>
      <c r="AH14" s="57">
        <f>AD14+IF($Z14="NOTSYD",regcalc!V$112*-0.5,regcalc!V$112*0.5)+output!E$6</f>
        <v>7.4650492182976244E-2</v>
      </c>
      <c r="AI14" s="57">
        <f t="shared" si="14"/>
        <v>-8.6393167342213584E-3</v>
      </c>
      <c r="AK14" s="57">
        <f t="shared" si="15"/>
        <v>0.39226839394068647</v>
      </c>
      <c r="AL14" s="57">
        <f t="shared" si="2"/>
        <v>0.53372051909843621</v>
      </c>
      <c r="AM14" s="57">
        <f t="shared" si="3"/>
        <v>7.4011086960877229E-2</v>
      </c>
      <c r="AN14" s="57">
        <f t="shared" si="16"/>
        <v>0</v>
      </c>
      <c r="AP14">
        <f>AK14+($AM14*prefs!B$2)+($AN14*prefs!C$2)</f>
        <v>0.40344406807177891</v>
      </c>
      <c r="AQ14">
        <f>AL14+($AM14*prefs!B$3)+($AN14*prefs!C$3)</f>
        <v>0.57294639518770119</v>
      </c>
      <c r="AR14">
        <f t="shared" si="17"/>
        <v>2.360953674051991E-2</v>
      </c>
      <c r="AT14">
        <f t="shared" si="18"/>
        <v>0.41319951725558984</v>
      </c>
      <c r="AU14">
        <f t="shared" si="19"/>
        <v>0.5868004827444101</v>
      </c>
      <c r="AV14" s="56">
        <f t="shared" si="20"/>
        <v>1.8516339333708443E-3</v>
      </c>
      <c r="AX14">
        <f t="shared" si="21"/>
        <v>0.40755908450680373</v>
      </c>
      <c r="AY14">
        <f t="shared" si="22"/>
        <v>0.55157939438209591</v>
      </c>
      <c r="AZ14">
        <f t="shared" si="23"/>
        <v>4.0861521111100307E-2</v>
      </c>
      <c r="BB14">
        <f t="shared" si="24"/>
        <v>0.42492204564552005</v>
      </c>
      <c r="BC14">
        <f t="shared" si="25"/>
        <v>0.57507795435447984</v>
      </c>
      <c r="BD14" s="74">
        <f t="shared" si="26"/>
        <v>6.0294093190174092E-3</v>
      </c>
    </row>
    <row r="15" spans="1:56" x14ac:dyDescent="0.25">
      <c r="A15" t="s">
        <v>42</v>
      </c>
      <c r="B15" t="s">
        <v>3</v>
      </c>
      <c r="C15">
        <v>0.72799999999999998</v>
      </c>
      <c r="E15">
        <f>C15+output!$E$10</f>
        <v>0.64474389079265215</v>
      </c>
      <c r="G15" t="s">
        <v>135</v>
      </c>
      <c r="H15" s="52">
        <f t="shared" si="4"/>
        <v>0</v>
      </c>
      <c r="I15" s="52">
        <f t="shared" si="5"/>
        <v>1</v>
      </c>
      <c r="J15" s="52">
        <f t="shared" si="6"/>
        <v>1</v>
      </c>
      <c r="K15" s="52">
        <f t="shared" si="7"/>
        <v>1</v>
      </c>
      <c r="L15" s="53">
        <f t="shared" si="8"/>
        <v>2.1999999999999999E-2</v>
      </c>
      <c r="M15" s="55">
        <f>IF(Z15="NOTSYD",E15+L15-L$97+regcalc!P$114,E15+L15-L$97+regcalc!K$114)</f>
        <v>0.697096557560549</v>
      </c>
      <c r="N15" s="56">
        <f t="shared" si="9"/>
        <v>0.99999999997806999</v>
      </c>
      <c r="P15" t="str">
        <f t="shared" si="10"/>
        <v/>
      </c>
      <c r="Q15" t="str">
        <f t="shared" si="11"/>
        <v/>
      </c>
      <c r="R15" s="57">
        <f t="shared" si="12"/>
        <v>0.64835913431656844</v>
      </c>
      <c r="S15" s="56">
        <f t="shared" si="13"/>
        <v>0.99999964890538551</v>
      </c>
      <c r="AB15">
        <v>0.64200000000000002</v>
      </c>
      <c r="AC15">
        <v>0.22700000000000001</v>
      </c>
      <c r="AD15">
        <v>5.5E-2</v>
      </c>
      <c r="AF15" s="57">
        <f>AB15+IF($Z15="NOTSYD",regcalc!U$112*-0.5,regcalc!U$112*0.5)+output!E$4</f>
        <v>0.61965732484076441</v>
      </c>
      <c r="AG15" s="57">
        <f>AC15+IF($Z15="NOTSYD",regcalc!T$112*-0.5,regcalc!T$112*0.5)+output!E$5</f>
        <v>0.31133149971048063</v>
      </c>
      <c r="AH15" s="57">
        <f>AD15+IF($Z15="NOTSYD",regcalc!V$112*-0.5,regcalc!V$112*0.5)+output!E$6</f>
        <v>5.1650492182976251E-2</v>
      </c>
      <c r="AI15" s="57">
        <f t="shared" si="14"/>
        <v>1.7360683265778776E-2</v>
      </c>
      <c r="AK15" s="57">
        <f t="shared" si="15"/>
        <v>0.61965732484076441</v>
      </c>
      <c r="AL15" s="57">
        <f t="shared" si="2"/>
        <v>0.31133149971048063</v>
      </c>
      <c r="AM15" s="57">
        <f t="shared" si="3"/>
        <v>5.1650492182976251E-2</v>
      </c>
      <c r="AN15" s="57">
        <f t="shared" si="16"/>
        <v>1.7360683265778776E-2</v>
      </c>
      <c r="AP15">
        <f>AK15+($AM15*prefs!B$2)+($AN15*prefs!C$2)</f>
        <v>0.63102416957151142</v>
      </c>
      <c r="AQ15">
        <f>AL15+($AM15*prefs!B$3)+($AN15*prefs!C$3)</f>
        <v>0.34223915961204404</v>
      </c>
      <c r="AR15">
        <f t="shared" si="17"/>
        <v>2.6736670816444486E-2</v>
      </c>
      <c r="AT15">
        <f t="shared" si="18"/>
        <v>0.64835913431656844</v>
      </c>
      <c r="AU15">
        <f t="shared" si="19"/>
        <v>0.3516408656834315</v>
      </c>
      <c r="AV15" s="56">
        <f t="shared" si="20"/>
        <v>0.99999964890538551</v>
      </c>
      <c r="AX15">
        <f t="shared" si="21"/>
        <v>0.63391503368847724</v>
      </c>
      <c r="AY15">
        <f t="shared" si="22"/>
        <v>0.32798389634626524</v>
      </c>
      <c r="AZ15">
        <f t="shared" si="23"/>
        <v>3.8101069965257528E-2</v>
      </c>
      <c r="BB15">
        <f t="shared" si="24"/>
        <v>0.65902457513450097</v>
      </c>
      <c r="BC15">
        <f t="shared" si="25"/>
        <v>0.34097542486549903</v>
      </c>
      <c r="BD15" s="74">
        <f t="shared" si="26"/>
        <v>0.99999994736476605</v>
      </c>
    </row>
    <row r="16" spans="1:56" x14ac:dyDescent="0.25">
      <c r="A16" t="s">
        <v>43</v>
      </c>
      <c r="B16" t="s">
        <v>3</v>
      </c>
      <c r="C16">
        <v>0.56800000000000006</v>
      </c>
      <c r="E16">
        <f>C16+output!$E$10</f>
        <v>0.48474389079265223</v>
      </c>
      <c r="G16" t="s">
        <v>135</v>
      </c>
      <c r="H16" s="52">
        <f t="shared" si="4"/>
        <v>0</v>
      </c>
      <c r="I16" s="52">
        <f t="shared" si="5"/>
        <v>1</v>
      </c>
      <c r="J16" s="52">
        <f t="shared" si="6"/>
        <v>1</v>
      </c>
      <c r="K16" s="52">
        <f t="shared" si="7"/>
        <v>1</v>
      </c>
      <c r="L16" s="53">
        <f t="shared" si="8"/>
        <v>2.1999999999999999E-2</v>
      </c>
      <c r="M16" s="55">
        <f>IF(Z16="NOTSYD",E16+L16-L$97+regcalc!P$114,E16+L16-L$97+regcalc!K$114)</f>
        <v>0.53709655756054908</v>
      </c>
      <c r="N16" s="56">
        <f t="shared" si="9"/>
        <v>0.89258918025478817</v>
      </c>
      <c r="P16" t="str">
        <f t="shared" si="10"/>
        <v>X</v>
      </c>
      <c r="Q16" t="str">
        <f t="shared" si="11"/>
        <v/>
      </c>
      <c r="R16" s="57">
        <f t="shared" si="12"/>
        <v>0.49222299213370801</v>
      </c>
      <c r="S16" s="56">
        <f t="shared" si="13"/>
        <v>0.39741505999384219</v>
      </c>
      <c r="AB16">
        <v>0.45500000000000002</v>
      </c>
      <c r="AC16">
        <v>0.34</v>
      </c>
      <c r="AD16">
        <v>6.4000000000000001E-2</v>
      </c>
      <c r="AF16" s="57">
        <f>AB16+IF($Z16="NOTSYD",regcalc!U$112*-0.5,regcalc!U$112*0.5)+output!E$4</f>
        <v>0.43265732484076441</v>
      </c>
      <c r="AG16" s="57">
        <f>AC16+IF($Z16="NOTSYD",regcalc!T$112*-0.5,regcalc!T$112*0.5)+output!E$5</f>
        <v>0.42433149971048062</v>
      </c>
      <c r="AH16" s="57">
        <f>AD16+IF($Z16="NOTSYD",regcalc!V$112*-0.5,regcalc!V$112*0.5)+output!E$6</f>
        <v>6.0650492182976252E-2</v>
      </c>
      <c r="AI16" s="57">
        <f t="shared" si="14"/>
        <v>8.2360683265778722E-2</v>
      </c>
      <c r="AK16" s="57">
        <f t="shared" si="15"/>
        <v>0.43265732484076441</v>
      </c>
      <c r="AL16" s="57">
        <f t="shared" si="2"/>
        <v>0.42433149971048062</v>
      </c>
      <c r="AM16" s="57">
        <f t="shared" si="3"/>
        <v>6.0650492182976252E-2</v>
      </c>
      <c r="AN16" s="57">
        <f t="shared" si="16"/>
        <v>8.2360683265778722E-2</v>
      </c>
      <c r="AP16">
        <f>AK16+($AM16*prefs!B$2)+($AN16*prefs!C$2)</f>
        <v>0.45874066957151138</v>
      </c>
      <c r="AQ16">
        <f>AL16+($AM16*prefs!B$3)+($AN16*prefs!C$3)</f>
        <v>0.47323665961204403</v>
      </c>
      <c r="AR16">
        <f t="shared" si="17"/>
        <v>6.8022670816444641E-2</v>
      </c>
      <c r="AT16">
        <f t="shared" si="18"/>
        <v>0.49222299213370801</v>
      </c>
      <c r="AU16">
        <f t="shared" si="19"/>
        <v>0.50777700786629199</v>
      </c>
      <c r="AV16" s="56">
        <f t="shared" si="20"/>
        <v>0.39741505999384219</v>
      </c>
      <c r="AX16">
        <f t="shared" si="21"/>
        <v>0.46220343368847716</v>
      </c>
      <c r="AY16">
        <f t="shared" si="22"/>
        <v>0.45884009634626521</v>
      </c>
      <c r="AZ16">
        <f t="shared" si="23"/>
        <v>7.8956469965257625E-2</v>
      </c>
      <c r="BB16">
        <f t="shared" si="24"/>
        <v>0.50182582974231693</v>
      </c>
      <c r="BC16">
        <f t="shared" si="25"/>
        <v>0.49817417025768312</v>
      </c>
      <c r="BD16" s="74">
        <f t="shared" si="26"/>
        <v>0.524340769446904</v>
      </c>
    </row>
    <row r="17" spans="1:56" x14ac:dyDescent="0.25">
      <c r="A17" s="50" t="s">
        <v>44</v>
      </c>
      <c r="B17" t="s">
        <v>4</v>
      </c>
      <c r="C17">
        <v>0.42599999999999999</v>
      </c>
      <c r="E17">
        <f>C17+output!$E$10</f>
        <v>0.34274389079265216</v>
      </c>
      <c r="G17" t="s">
        <v>129</v>
      </c>
      <c r="H17" s="52">
        <f t="shared" si="4"/>
        <v>0</v>
      </c>
      <c r="I17" s="52">
        <f t="shared" si="5"/>
        <v>0</v>
      </c>
      <c r="J17" s="52">
        <f t="shared" si="6"/>
        <v>0</v>
      </c>
      <c r="K17" s="52">
        <f t="shared" si="7"/>
        <v>0</v>
      </c>
      <c r="L17" s="53">
        <f t="shared" si="8"/>
        <v>0</v>
      </c>
      <c r="M17" s="55">
        <f>IF(Z17="NOTSYD",E17+L17-L$97+regcalc!P$114,E17+L17-L$97+regcalc!K$114)</f>
        <v>0.37309655756054894</v>
      </c>
      <c r="N17" s="56">
        <f t="shared" si="9"/>
        <v>1.101122901581153E-5</v>
      </c>
      <c r="P17" t="str">
        <f t="shared" si="10"/>
        <v/>
      </c>
      <c r="Q17" t="str">
        <f t="shared" si="11"/>
        <v/>
      </c>
      <c r="R17" s="57">
        <f t="shared" si="12"/>
        <v>0.36753015342332168</v>
      </c>
      <c r="S17" s="56">
        <f t="shared" si="13"/>
        <v>4.7234825254482971E-6</v>
      </c>
      <c r="AB17">
        <v>0.36899999999999999</v>
      </c>
      <c r="AC17">
        <v>0.48799999999999999</v>
      </c>
      <c r="AD17">
        <v>9.2999999999999999E-2</v>
      </c>
      <c r="AF17" s="57">
        <f>AB17+IF($Z17="NOTSYD",regcalc!U$112*-0.5,regcalc!U$112*0.5)+output!E$4</f>
        <v>0.34665732484076439</v>
      </c>
      <c r="AG17" s="57">
        <f>AC17+IF($Z17="NOTSYD",regcalc!T$112*-0.5,regcalc!T$112*0.5)+output!E$5</f>
        <v>0.57233149971048058</v>
      </c>
      <c r="AH17" s="57">
        <f>AD17+IF($Z17="NOTSYD",regcalc!V$112*-0.5,regcalc!V$112*0.5)+output!E$6</f>
        <v>8.9650492182976244E-2</v>
      </c>
      <c r="AI17" s="57">
        <f t="shared" si="14"/>
        <v>-8.6393167342211363E-3</v>
      </c>
      <c r="AK17" s="57">
        <f t="shared" si="15"/>
        <v>0.3436880945343016</v>
      </c>
      <c r="AL17" s="57">
        <f t="shared" si="2"/>
        <v>0.56742929827837685</v>
      </c>
      <c r="AM17" s="57">
        <f t="shared" si="3"/>
        <v>8.8882607187321619E-2</v>
      </c>
      <c r="AN17" s="57">
        <f t="shared" si="16"/>
        <v>0</v>
      </c>
      <c r="AP17">
        <f>AK17+($AM17*prefs!B$2)+($AN17*prefs!C$2)</f>
        <v>0.35710936821958716</v>
      </c>
      <c r="AQ17">
        <f>AL17+($AM17*prefs!B$3)+($AN17*prefs!C$3)</f>
        <v>0.61453708008765728</v>
      </c>
      <c r="AR17">
        <f t="shared" si="17"/>
        <v>2.8353551692755552E-2</v>
      </c>
      <c r="AT17">
        <f t="shared" si="18"/>
        <v>0.36753015342332168</v>
      </c>
      <c r="AU17">
        <f t="shared" si="19"/>
        <v>0.63246984657667826</v>
      </c>
      <c r="AV17" s="56">
        <f t="shared" si="20"/>
        <v>4.7234825254482971E-6</v>
      </c>
      <c r="AX17">
        <f t="shared" si="21"/>
        <v>0.36205124117920223</v>
      </c>
      <c r="AY17">
        <f t="shared" si="22"/>
        <v>0.58887667139267752</v>
      </c>
      <c r="AZ17">
        <f t="shared" si="23"/>
        <v>4.9072087428120303E-2</v>
      </c>
      <c r="BB17">
        <f t="shared" si="24"/>
        <v>0.3807346870279561</v>
      </c>
      <c r="BC17">
        <f t="shared" si="25"/>
        <v>0.6192653129720439</v>
      </c>
      <c r="BD17" s="74">
        <f t="shared" si="26"/>
        <v>3.3325767704650566E-5</v>
      </c>
    </row>
    <row r="18" spans="1:56" x14ac:dyDescent="0.25">
      <c r="A18" t="s">
        <v>45</v>
      </c>
      <c r="B18" t="s">
        <v>3</v>
      </c>
      <c r="C18">
        <v>0.84699999999999998</v>
      </c>
      <c r="E18">
        <f>C18+output!$E$10</f>
        <v>0.76374389079265215</v>
      </c>
      <c r="G18" t="s">
        <v>136</v>
      </c>
      <c r="H18" s="52">
        <f t="shared" si="4"/>
        <v>1</v>
      </c>
      <c r="I18" s="52">
        <f t="shared" si="5"/>
        <v>0</v>
      </c>
      <c r="J18" s="52">
        <f t="shared" si="6"/>
        <v>0</v>
      </c>
      <c r="K18" s="52">
        <f t="shared" si="7"/>
        <v>0</v>
      </c>
      <c r="L18" s="53">
        <f t="shared" si="8"/>
        <v>-0.01</v>
      </c>
      <c r="M18" s="55">
        <f>IF(Z18="NOTSYD",E18+L18-L$97+regcalc!P$114,E18+L18-L$97+regcalc!K$114)</f>
        <v>0.78409655756054897</v>
      </c>
      <c r="N18" s="56">
        <f t="shared" si="9"/>
        <v>1</v>
      </c>
      <c r="P18" t="str">
        <f t="shared" si="10"/>
        <v/>
      </c>
      <c r="Q18" t="str">
        <f t="shared" si="11"/>
        <v/>
      </c>
      <c r="R18" s="57">
        <f t="shared" si="12"/>
        <v>0.75419047628308877</v>
      </c>
      <c r="S18" s="56">
        <f t="shared" si="13"/>
        <v>1</v>
      </c>
      <c r="AB18">
        <v>0.747</v>
      </c>
      <c r="AC18">
        <v>0.115</v>
      </c>
      <c r="AD18">
        <v>0.08</v>
      </c>
      <c r="AF18" s="57">
        <f>AB18+IF($Z18="NOTSYD",regcalc!U$112*-0.5,regcalc!U$112*0.5)+output!E$4</f>
        <v>0.72465732484076439</v>
      </c>
      <c r="AG18" s="57">
        <f>AC18+IF($Z18="NOTSYD",regcalc!T$112*-0.5,regcalc!T$112*0.5)+output!E$5</f>
        <v>0.19933149971048064</v>
      </c>
      <c r="AH18" s="57">
        <f>AD18+IF($Z18="NOTSYD",regcalc!V$112*-0.5,regcalc!V$112*0.5)+output!E$6</f>
        <v>7.6650492182976246E-2</v>
      </c>
      <c r="AI18" s="57">
        <f t="shared" si="14"/>
        <v>-6.3931673422135127E-4</v>
      </c>
      <c r="AK18" s="57">
        <f t="shared" si="15"/>
        <v>0.72419433528338939</v>
      </c>
      <c r="AL18" s="57">
        <f t="shared" si="2"/>
        <v>0.19920414516694915</v>
      </c>
      <c r="AM18" s="57">
        <f t="shared" si="3"/>
        <v>7.6601519549661365E-2</v>
      </c>
      <c r="AN18" s="57">
        <f t="shared" si="16"/>
        <v>0</v>
      </c>
      <c r="AP18">
        <f>AK18+($AM18*prefs!B$2)+($AN18*prefs!C$2)</f>
        <v>0.73576116473538822</v>
      </c>
      <c r="AQ18">
        <f>AL18+($AM18*prefs!B$3)+($AN18*prefs!C$3)</f>
        <v>0.23980295052826966</v>
      </c>
      <c r="AR18">
        <f t="shared" si="17"/>
        <v>2.4435884736342173E-2</v>
      </c>
      <c r="AT18">
        <f t="shared" si="18"/>
        <v>0.75419047628308877</v>
      </c>
      <c r="AU18">
        <f t="shared" si="19"/>
        <v>0.24580952371691128</v>
      </c>
      <c r="AV18" s="56">
        <f t="shared" si="20"/>
        <v>1</v>
      </c>
      <c r="AX18">
        <f t="shared" si="21"/>
        <v>0.74002020922234946</v>
      </c>
      <c r="AY18">
        <f t="shared" si="22"/>
        <v>0.21768809183428245</v>
      </c>
      <c r="AZ18">
        <f t="shared" si="23"/>
        <v>4.229169894336815E-2</v>
      </c>
      <c r="BB18">
        <f t="shared" si="24"/>
        <v>0.77269896105723546</v>
      </c>
      <c r="BC18">
        <f t="shared" si="25"/>
        <v>0.22730103894276465</v>
      </c>
      <c r="BD18" s="74">
        <f t="shared" si="26"/>
        <v>1</v>
      </c>
    </row>
    <row r="19" spans="1:56" x14ac:dyDescent="0.25">
      <c r="A19" s="50" t="s">
        <v>46</v>
      </c>
      <c r="B19" t="s">
        <v>4</v>
      </c>
      <c r="C19">
        <v>0.46100000000000002</v>
      </c>
      <c r="E19">
        <f>C19+output!$E$10</f>
        <v>0.37774389079265219</v>
      </c>
      <c r="G19" t="s">
        <v>127</v>
      </c>
      <c r="H19" s="52">
        <f t="shared" si="4"/>
        <v>1</v>
      </c>
      <c r="I19" s="52">
        <f t="shared" si="5"/>
        <v>0</v>
      </c>
      <c r="J19" s="52">
        <f t="shared" si="6"/>
        <v>0</v>
      </c>
      <c r="K19" s="52">
        <f t="shared" si="7"/>
        <v>0</v>
      </c>
      <c r="L19" s="53">
        <f t="shared" si="8"/>
        <v>0.01</v>
      </c>
      <c r="M19" s="55">
        <f>IF(Z19="NOTSYD",E19+L19-L$97+regcalc!P$114,E19+L19-L$97+regcalc!K$114)</f>
        <v>0.48840539853206555</v>
      </c>
      <c r="N19" s="56">
        <f t="shared" si="9"/>
        <v>0.34912110776043215</v>
      </c>
      <c r="P19" t="str">
        <f t="shared" si="10"/>
        <v/>
      </c>
      <c r="Q19" t="str">
        <f t="shared" si="11"/>
        <v>X</v>
      </c>
      <c r="R19" s="57">
        <f t="shared" si="12"/>
        <v>0.30820686497745148</v>
      </c>
      <c r="S19" s="56">
        <f t="shared" si="13"/>
        <v>7.1303740689643291E-11</v>
      </c>
      <c r="Z19" t="s">
        <v>138</v>
      </c>
      <c r="AB19">
        <v>0.251</v>
      </c>
      <c r="AC19">
        <v>0.34100000000000003</v>
      </c>
      <c r="AD19">
        <v>8.5999999999999993E-2</v>
      </c>
      <c r="AF19" s="57">
        <f>AB19+IF($Z19="NOTSYD",regcalc!U$112*-0.5,regcalc!U$112*0.5)+output!E$4</f>
        <v>0.16254267515923573</v>
      </c>
      <c r="AG19" s="57">
        <f>AC19+IF($Z19="NOTSYD",regcalc!T$112*-0.5,regcalc!T$112*0.5)+output!E$5</f>
        <v>0.42966850028951947</v>
      </c>
      <c r="AH19" s="57">
        <f>AD19+IF($Z19="NOTSYD",regcalc!V$112*-0.5,regcalc!V$112*0.5)+output!E$6</f>
        <v>8.9749507817023733E-2</v>
      </c>
      <c r="AI19" s="57">
        <f t="shared" si="14"/>
        <v>0.31803931673422103</v>
      </c>
      <c r="AK19" s="57">
        <f t="shared" si="15"/>
        <v>0.16254267515923573</v>
      </c>
      <c r="AL19" s="57">
        <f t="shared" si="2"/>
        <v>0.42966850028951947</v>
      </c>
      <c r="AM19" s="57">
        <f t="shared" si="3"/>
        <v>8.9749507817023733E-2</v>
      </c>
      <c r="AN19" s="57">
        <f t="shared" si="16"/>
        <v>0.31803931673422103</v>
      </c>
      <c r="AP19">
        <f>AK19+($AM19*prefs!B$2)+($AN19*prefs!C$2)</f>
        <v>0.24145193042848875</v>
      </c>
      <c r="AQ19">
        <f>AL19+($AM19*prefs!B$3)+($AN19*prefs!C$3)</f>
        <v>0.54195674038795605</v>
      </c>
      <c r="AR19">
        <f t="shared" si="17"/>
        <v>0.21659132918355517</v>
      </c>
      <c r="AT19">
        <f t="shared" si="18"/>
        <v>0.30820686497745148</v>
      </c>
      <c r="AU19">
        <f t="shared" si="19"/>
        <v>0.69179313502254847</v>
      </c>
      <c r="AV19" s="56">
        <f t="shared" si="20"/>
        <v>7.1303740689643291E-11</v>
      </c>
      <c r="AX19">
        <f t="shared" si="21"/>
        <v>0.2467918463115229</v>
      </c>
      <c r="AY19">
        <f t="shared" si="22"/>
        <v>0.52806794365373477</v>
      </c>
      <c r="AZ19">
        <f t="shared" si="23"/>
        <v>0.22514021003474238</v>
      </c>
      <c r="BB19">
        <f t="shared" si="24"/>
        <v>0.31849871358350951</v>
      </c>
      <c r="BC19">
        <f t="shared" si="25"/>
        <v>0.68150128641649055</v>
      </c>
      <c r="BD19" s="74">
        <f t="shared" si="26"/>
        <v>6.4375571540153942E-10</v>
      </c>
    </row>
    <row r="20" spans="1:56" x14ac:dyDescent="0.25">
      <c r="A20" t="s">
        <v>47</v>
      </c>
      <c r="B20" t="s">
        <v>3</v>
      </c>
      <c r="C20">
        <v>0.59199999999999997</v>
      </c>
      <c r="E20">
        <f>C20+output!$E$10</f>
        <v>0.50874389079265214</v>
      </c>
      <c r="G20" t="s">
        <v>129</v>
      </c>
      <c r="H20" s="52">
        <f t="shared" si="4"/>
        <v>0</v>
      </c>
      <c r="I20" s="52">
        <f t="shared" si="5"/>
        <v>0</v>
      </c>
      <c r="J20" s="52">
        <f t="shared" si="6"/>
        <v>0</v>
      </c>
      <c r="K20" s="52">
        <f t="shared" si="7"/>
        <v>0</v>
      </c>
      <c r="L20" s="53">
        <f t="shared" si="8"/>
        <v>0</v>
      </c>
      <c r="M20" s="55">
        <f>IF(Z20="NOTSYD",E20+L20-L$97+regcalc!P$114,E20+L20-L$97+regcalc!K$114)</f>
        <v>0.60940539853206555</v>
      </c>
      <c r="N20" s="56">
        <f t="shared" si="9"/>
        <v>0.99987302439926584</v>
      </c>
      <c r="P20" t="str">
        <f t="shared" si="10"/>
        <v/>
      </c>
      <c r="Q20" t="str">
        <f t="shared" si="11"/>
        <v/>
      </c>
      <c r="R20" s="57">
        <f t="shared" si="12"/>
        <v>0.45777289514246916</v>
      </c>
      <c r="S20" s="56">
        <f t="shared" si="13"/>
        <v>7.8979628630677867E-2</v>
      </c>
      <c r="Z20" t="s">
        <v>138</v>
      </c>
      <c r="AB20">
        <v>0.43</v>
      </c>
      <c r="AC20">
        <v>0.28999999999999998</v>
      </c>
      <c r="AD20">
        <v>9.0999999999999998E-2</v>
      </c>
      <c r="AF20" s="57">
        <f>AB20+IF($Z20="NOTSYD",regcalc!U$112*-0.5,regcalc!U$112*0.5)+output!E$4</f>
        <v>0.3415426751592357</v>
      </c>
      <c r="AG20" s="57">
        <f>AC20+IF($Z20="NOTSYD",regcalc!T$112*-0.5,regcalc!T$112*0.5)+output!E$5</f>
        <v>0.37866850028951943</v>
      </c>
      <c r="AH20" s="57">
        <f>AD20+IF($Z20="NOTSYD",regcalc!V$112*-0.5,regcalc!V$112*0.5)+output!E$6</f>
        <v>9.4749507817023737E-2</v>
      </c>
      <c r="AI20" s="57">
        <f t="shared" si="14"/>
        <v>0.18503931673422114</v>
      </c>
      <c r="AK20" s="57">
        <f t="shared" si="15"/>
        <v>0.3415426751592357</v>
      </c>
      <c r="AL20" s="57">
        <f t="shared" si="2"/>
        <v>0.37866850028951943</v>
      </c>
      <c r="AM20" s="57">
        <f t="shared" si="3"/>
        <v>9.4749507817023737E-2</v>
      </c>
      <c r="AN20" s="57">
        <f t="shared" si="16"/>
        <v>0.18503931673422114</v>
      </c>
      <c r="AP20">
        <f>AK20+($AM20*prefs!B$2)+($AN20*prefs!C$2)</f>
        <v>0.39387543042848872</v>
      </c>
      <c r="AQ20">
        <f>AL20+($AM20*prefs!B$3)+($AN20*prefs!C$3)</f>
        <v>0.46654124038795597</v>
      </c>
      <c r="AR20">
        <f t="shared" si="17"/>
        <v>0.13958332918355532</v>
      </c>
      <c r="AT20">
        <f t="shared" si="18"/>
        <v>0.45777289514246916</v>
      </c>
      <c r="AU20">
        <f t="shared" si="19"/>
        <v>0.54222710485753089</v>
      </c>
      <c r="AV20" s="56">
        <f t="shared" si="20"/>
        <v>7.8979628630677867E-2</v>
      </c>
      <c r="AX20">
        <f t="shared" si="21"/>
        <v>0.3993470463115229</v>
      </c>
      <c r="AY20">
        <f t="shared" si="22"/>
        <v>0.4461815436537348</v>
      </c>
      <c r="AZ20">
        <f t="shared" si="23"/>
        <v>0.1544714100347423</v>
      </c>
      <c r="BB20">
        <f t="shared" si="24"/>
        <v>0.47230460454084922</v>
      </c>
      <c r="BC20">
        <f t="shared" si="25"/>
        <v>0.52769539545915078</v>
      </c>
      <c r="BD20" s="74">
        <f t="shared" si="26"/>
        <v>0.17720622288619614</v>
      </c>
    </row>
    <row r="21" spans="1:56" x14ac:dyDescent="0.25">
      <c r="A21" t="s">
        <v>48</v>
      </c>
      <c r="B21" t="s">
        <v>3</v>
      </c>
      <c r="C21">
        <v>0.81899999999999995</v>
      </c>
      <c r="E21">
        <f>C21+output!$E$10</f>
        <v>0.73574389079265212</v>
      </c>
      <c r="G21" t="s">
        <v>126</v>
      </c>
      <c r="H21" s="52">
        <f t="shared" si="4"/>
        <v>0</v>
      </c>
      <c r="I21" s="52">
        <f t="shared" si="5"/>
        <v>0</v>
      </c>
      <c r="J21" s="52">
        <f t="shared" si="6"/>
        <v>0</v>
      </c>
      <c r="K21" s="52">
        <f t="shared" si="7"/>
        <v>0</v>
      </c>
      <c r="L21" s="53">
        <f t="shared" si="8"/>
        <v>0</v>
      </c>
      <c r="M21" s="55">
        <f>IF(Z21="NOTSYD",E21+L21-L$97+regcalc!P$114,E21+L21-L$97+regcalc!K$114)</f>
        <v>0.83640539853206552</v>
      </c>
      <c r="N21" s="56">
        <f t="shared" si="9"/>
        <v>1</v>
      </c>
      <c r="P21" t="str">
        <f t="shared" si="10"/>
        <v/>
      </c>
      <c r="Q21" t="str">
        <f t="shared" si="11"/>
        <v/>
      </c>
      <c r="R21" s="57">
        <f t="shared" si="12"/>
        <v>0.69180610799637887</v>
      </c>
      <c r="S21" s="56">
        <f t="shared" si="13"/>
        <v>0.99999999992889888</v>
      </c>
      <c r="Z21" t="s">
        <v>138</v>
      </c>
      <c r="AB21">
        <v>0.63500000000000001</v>
      </c>
      <c r="AC21">
        <v>0.1</v>
      </c>
      <c r="AD21">
        <v>6.8000000000000005E-2</v>
      </c>
      <c r="AF21" s="57">
        <f>AB21+IF($Z21="NOTSYD",regcalc!U$112*-0.5,regcalc!U$112*0.5)+output!E$4</f>
        <v>0.54654267515923571</v>
      </c>
      <c r="AG21" s="57">
        <f>AC21+IF($Z21="NOTSYD",regcalc!T$112*-0.5,regcalc!T$112*0.5)+output!E$5</f>
        <v>0.18866850028951943</v>
      </c>
      <c r="AH21" s="57">
        <f>AD21+IF($Z21="NOTSYD",regcalc!V$112*-0.5,regcalc!V$112*0.5)+output!E$6</f>
        <v>7.1749507817023744E-2</v>
      </c>
      <c r="AI21" s="57">
        <f t="shared" si="14"/>
        <v>0.19303931673422114</v>
      </c>
      <c r="AK21" s="57">
        <f t="shared" si="15"/>
        <v>0.54654267515923571</v>
      </c>
      <c r="AL21" s="57">
        <f t="shared" si="2"/>
        <v>0.18866850028951943</v>
      </c>
      <c r="AM21" s="57">
        <f t="shared" si="3"/>
        <v>7.1749507817023744E-2</v>
      </c>
      <c r="AN21" s="57">
        <f t="shared" si="16"/>
        <v>0.19303931673422114</v>
      </c>
      <c r="AP21">
        <f>AK21+($AM21*prefs!B$2)+($AN21*prefs!C$2)</f>
        <v>0.59704643042848871</v>
      </c>
      <c r="AQ21">
        <f>AL21+($AM21*prefs!B$3)+($AN21*prefs!C$3)</f>
        <v>0.26597924038795601</v>
      </c>
      <c r="AR21">
        <f t="shared" si="17"/>
        <v>0.13697432918355523</v>
      </c>
      <c r="AT21">
        <f t="shared" si="18"/>
        <v>0.69180610799637887</v>
      </c>
      <c r="AU21">
        <f t="shared" si="19"/>
        <v>0.30819389200362107</v>
      </c>
      <c r="AV21" s="56">
        <f t="shared" si="20"/>
        <v>0.99999999992889888</v>
      </c>
      <c r="AX21">
        <f t="shared" si="21"/>
        <v>0.60124804631152295</v>
      </c>
      <c r="AY21">
        <f t="shared" si="22"/>
        <v>0.2525620436537348</v>
      </c>
      <c r="AZ21">
        <f t="shared" si="23"/>
        <v>0.14618991003474224</v>
      </c>
      <c r="BB21">
        <f t="shared" si="24"/>
        <v>0.70419412159440309</v>
      </c>
      <c r="BC21">
        <f t="shared" si="25"/>
        <v>0.29580587840559691</v>
      </c>
      <c r="BD21" s="74">
        <f t="shared" si="26"/>
        <v>0.99999999999568678</v>
      </c>
    </row>
    <row r="22" spans="1:56" x14ac:dyDescent="0.25">
      <c r="A22" t="s">
        <v>49</v>
      </c>
      <c r="B22" t="s">
        <v>3</v>
      </c>
      <c r="C22">
        <v>0.77300000000000002</v>
      </c>
      <c r="E22">
        <f>C22+output!$E$10</f>
        <v>0.68974389079265219</v>
      </c>
      <c r="G22" t="s">
        <v>126</v>
      </c>
      <c r="H22" s="52">
        <f t="shared" si="4"/>
        <v>0</v>
      </c>
      <c r="I22" s="52">
        <f t="shared" si="5"/>
        <v>0</v>
      </c>
      <c r="J22" s="52">
        <f t="shared" si="6"/>
        <v>0</v>
      </c>
      <c r="K22" s="52">
        <f t="shared" si="7"/>
        <v>0</v>
      </c>
      <c r="L22" s="53">
        <f t="shared" si="8"/>
        <v>0</v>
      </c>
      <c r="M22" s="55">
        <f>IF(Z22="NOTSYD",E22+L22-L$97+regcalc!P$114,E22+L22-L$97+regcalc!K$114)</f>
        <v>0.7904053985320656</v>
      </c>
      <c r="N22" s="56">
        <f t="shared" si="9"/>
        <v>1</v>
      </c>
      <c r="P22" t="str">
        <f t="shared" si="10"/>
        <v/>
      </c>
      <c r="Q22" t="str">
        <f t="shared" si="11"/>
        <v/>
      </c>
      <c r="R22" s="57">
        <f t="shared" si="12"/>
        <v>0.66381954196374682</v>
      </c>
      <c r="S22" s="56">
        <f t="shared" si="13"/>
        <v>0.99999997845726263</v>
      </c>
      <c r="Z22" t="s">
        <v>138</v>
      </c>
      <c r="AB22">
        <v>0.65900000000000003</v>
      </c>
      <c r="AC22">
        <v>0.14199999999999999</v>
      </c>
      <c r="AD22">
        <v>0.105</v>
      </c>
      <c r="AF22" s="57">
        <f>AB22+IF($Z22="NOTSYD",regcalc!U$112*-0.5,regcalc!U$112*0.5)+output!E$4</f>
        <v>0.57054267515923573</v>
      </c>
      <c r="AG22" s="57">
        <f>AC22+IF($Z22="NOTSYD",regcalc!T$112*-0.5,regcalc!T$112*0.5)+output!E$5</f>
        <v>0.23066850028951941</v>
      </c>
      <c r="AH22" s="57">
        <f>AD22+IF($Z22="NOTSYD",regcalc!V$112*-0.5,regcalc!V$112*0.5)+output!E$6</f>
        <v>0.10874950781702374</v>
      </c>
      <c r="AI22" s="57">
        <f t="shared" si="14"/>
        <v>9.0039316734221053E-2</v>
      </c>
      <c r="AK22" s="57">
        <f t="shared" si="15"/>
        <v>0.57054267515923573</v>
      </c>
      <c r="AL22" s="57">
        <f t="shared" si="2"/>
        <v>0.23066850028951941</v>
      </c>
      <c r="AM22" s="57">
        <f t="shared" si="3"/>
        <v>0.10874950781702374</v>
      </c>
      <c r="AN22" s="57">
        <f t="shared" si="16"/>
        <v>9.0039316734221053E-2</v>
      </c>
      <c r="AP22">
        <f>AK22+($AM22*prefs!B$2)+($AN22*prefs!C$2)</f>
        <v>0.60546693042848876</v>
      </c>
      <c r="AQ22">
        <f>AL22+($AM22*prefs!B$3)+($AN22*prefs!C$3)</f>
        <v>0.30662874038795601</v>
      </c>
      <c r="AR22">
        <f t="shared" si="17"/>
        <v>8.7904329183555285E-2</v>
      </c>
      <c r="AT22">
        <f t="shared" si="18"/>
        <v>0.66381954196374682</v>
      </c>
      <c r="AU22">
        <f t="shared" si="19"/>
        <v>0.33618045803625318</v>
      </c>
      <c r="AV22" s="56">
        <f t="shared" si="20"/>
        <v>0.99999997845726263</v>
      </c>
      <c r="AX22">
        <f t="shared" si="21"/>
        <v>0.61161244631152289</v>
      </c>
      <c r="AY22">
        <f t="shared" si="22"/>
        <v>0.27863624365373479</v>
      </c>
      <c r="AZ22">
        <f t="shared" si="23"/>
        <v>0.10975131003474226</v>
      </c>
      <c r="BB22">
        <f t="shared" si="24"/>
        <v>0.687013025916827</v>
      </c>
      <c r="BC22">
        <f t="shared" si="25"/>
        <v>0.31298697408317294</v>
      </c>
      <c r="BD22" s="74">
        <f t="shared" si="26"/>
        <v>0.99999999979899634</v>
      </c>
    </row>
    <row r="23" spans="1:56" x14ac:dyDescent="0.25">
      <c r="A23" t="s">
        <v>50</v>
      </c>
      <c r="B23" t="s">
        <v>3</v>
      </c>
      <c r="C23">
        <v>0.58299999999999996</v>
      </c>
      <c r="E23">
        <f>C23+output!$E$10</f>
        <v>0.49974389079265213</v>
      </c>
      <c r="G23" t="s">
        <v>135</v>
      </c>
      <c r="H23" s="52">
        <f t="shared" si="4"/>
        <v>0</v>
      </c>
      <c r="I23" s="52">
        <f t="shared" si="5"/>
        <v>1</v>
      </c>
      <c r="J23" s="52">
        <f t="shared" si="6"/>
        <v>1</v>
      </c>
      <c r="K23" s="52">
        <f t="shared" si="7"/>
        <v>1</v>
      </c>
      <c r="L23" s="53">
        <f t="shared" si="8"/>
        <v>2.1999999999999999E-2</v>
      </c>
      <c r="M23" s="55">
        <f>IF(Z23="NOTSYD",E23+L23-L$97+regcalc!P$114,E23+L23-L$97+regcalc!K$114)</f>
        <v>0.55209655756054898</v>
      </c>
      <c r="N23" s="56">
        <f t="shared" si="9"/>
        <v>0.95924386728431299</v>
      </c>
      <c r="P23" t="str">
        <f t="shared" si="10"/>
        <v/>
      </c>
      <c r="Q23" t="str">
        <f t="shared" si="11"/>
        <v/>
      </c>
      <c r="R23" s="57">
        <f t="shared" si="12"/>
        <v>0.51675957375266157</v>
      </c>
      <c r="S23" s="56">
        <f t="shared" si="13"/>
        <v>0.71239603387494854</v>
      </c>
      <c r="AB23">
        <v>0.47599999999999998</v>
      </c>
      <c r="AC23">
        <v>0.25800000000000001</v>
      </c>
      <c r="AD23">
        <v>0.214</v>
      </c>
      <c r="AF23" s="57">
        <f>AB23+IF($Z23="NOTSYD",regcalc!U$112*-0.5,regcalc!U$112*0.5)+output!E$4</f>
        <v>0.45365732484076432</v>
      </c>
      <c r="AG23" s="57">
        <f>AC23+IF($Z23="NOTSYD",regcalc!T$112*-0.5,regcalc!T$112*0.5)+output!E$5</f>
        <v>0.3423314997104806</v>
      </c>
      <c r="AH23" s="57">
        <f>AD23+IF($Z23="NOTSYD",regcalc!V$112*-0.5,regcalc!V$112*0.5)+output!E$6</f>
        <v>0.21065049218297627</v>
      </c>
      <c r="AI23" s="57">
        <f t="shared" si="14"/>
        <v>-6.6393167342213566E-3</v>
      </c>
      <c r="AK23" s="57">
        <f t="shared" si="15"/>
        <v>0.45066521573242058</v>
      </c>
      <c r="AL23" s="57">
        <f t="shared" si="2"/>
        <v>0.3400736430811046</v>
      </c>
      <c r="AM23" s="57">
        <f t="shared" si="3"/>
        <v>0.20926114118647465</v>
      </c>
      <c r="AN23" s="57">
        <f t="shared" si="16"/>
        <v>0</v>
      </c>
      <c r="AP23">
        <f>AK23+($AM23*prefs!B$2)+($AN23*prefs!C$2)</f>
        <v>0.48226364805157823</v>
      </c>
      <c r="AQ23">
        <f>AL23+($AM23*prefs!B$3)+($AN23*prefs!C$3)</f>
        <v>0.45098204790993618</v>
      </c>
      <c r="AR23">
        <f t="shared" si="17"/>
        <v>6.675430403848559E-2</v>
      </c>
      <c r="AT23">
        <f t="shared" si="18"/>
        <v>0.51675957375266157</v>
      </c>
      <c r="AU23">
        <f t="shared" si="19"/>
        <v>0.48324042624733837</v>
      </c>
      <c r="AV23" s="56">
        <f t="shared" si="20"/>
        <v>0.71239603387494854</v>
      </c>
      <c r="AX23">
        <f t="shared" si="21"/>
        <v>0.49389856750154626</v>
      </c>
      <c r="AY23">
        <f t="shared" si="22"/>
        <v>0.39056835644940091</v>
      </c>
      <c r="AZ23">
        <f t="shared" si="23"/>
        <v>0.11553307604905283</v>
      </c>
      <c r="BB23">
        <f t="shared" si="24"/>
        <v>0.55841383564156666</v>
      </c>
      <c r="BC23">
        <f t="shared" si="25"/>
        <v>0.44158616435843334</v>
      </c>
      <c r="BD23" s="74">
        <f t="shared" si="26"/>
        <v>0.97460276548839164</v>
      </c>
    </row>
    <row r="24" spans="1:56" x14ac:dyDescent="0.25">
      <c r="A24" t="s">
        <v>51</v>
      </c>
      <c r="B24" t="s">
        <v>3</v>
      </c>
      <c r="C24">
        <v>0.80299999999999994</v>
      </c>
      <c r="E24">
        <f>C24+output!$E$10</f>
        <v>0.71974389079265211</v>
      </c>
      <c r="G24" t="s">
        <v>126</v>
      </c>
      <c r="H24" s="52">
        <f t="shared" si="4"/>
        <v>0</v>
      </c>
      <c r="I24" s="52">
        <f t="shared" si="5"/>
        <v>0</v>
      </c>
      <c r="J24" s="52">
        <f t="shared" si="6"/>
        <v>0</v>
      </c>
      <c r="K24" s="52">
        <f t="shared" si="7"/>
        <v>0</v>
      </c>
      <c r="L24" s="53">
        <f t="shared" si="8"/>
        <v>0</v>
      </c>
      <c r="M24" s="55">
        <f>IF(Z24="NOTSYD",E24+L24-L$97+regcalc!P$114,E24+L24-L$97+regcalc!K$114)</f>
        <v>0.82040539853206551</v>
      </c>
      <c r="N24" s="56">
        <f t="shared" si="9"/>
        <v>1</v>
      </c>
      <c r="P24" t="str">
        <f t="shared" si="10"/>
        <v/>
      </c>
      <c r="Q24" t="str">
        <f t="shared" si="11"/>
        <v/>
      </c>
      <c r="R24" s="57">
        <f t="shared" si="12"/>
        <v>0.69743033989503445</v>
      </c>
      <c r="S24" s="56">
        <f t="shared" si="13"/>
        <v>0.99999999997965938</v>
      </c>
      <c r="Z24" t="s">
        <v>138</v>
      </c>
      <c r="AB24">
        <v>0.747</v>
      </c>
      <c r="AC24">
        <v>0.16700000000000001</v>
      </c>
      <c r="AD24">
        <v>5.3999999999999999E-2</v>
      </c>
      <c r="AF24" s="57">
        <f>AB24+IF($Z24="NOTSYD",regcalc!U$112*-0.5,regcalc!U$112*0.5)+output!E$4</f>
        <v>0.65854267515923581</v>
      </c>
      <c r="AG24" s="57">
        <f>AC24+IF($Z24="NOTSYD",regcalc!T$112*-0.5,regcalc!T$112*0.5)+output!E$5</f>
        <v>0.25566850028951943</v>
      </c>
      <c r="AH24" s="57">
        <f>AD24+IF($Z24="NOTSYD",regcalc!V$112*-0.5,regcalc!V$112*0.5)+output!E$6</f>
        <v>5.7749507817023732E-2</v>
      </c>
      <c r="AI24" s="57">
        <f t="shared" si="14"/>
        <v>2.8039316734221109E-2</v>
      </c>
      <c r="AK24" s="57">
        <f t="shared" si="15"/>
        <v>0.65854267515923581</v>
      </c>
      <c r="AL24" s="57">
        <f t="shared" si="2"/>
        <v>0.25566850028951943</v>
      </c>
      <c r="AM24" s="57">
        <f t="shared" si="3"/>
        <v>5.7749507817023732E-2</v>
      </c>
      <c r="AN24" s="57">
        <f t="shared" si="16"/>
        <v>2.8039316734221109E-2</v>
      </c>
      <c r="AP24">
        <f>AK24+($AM24*prefs!B$2)+($AN24*prefs!C$2)</f>
        <v>0.67302493042848877</v>
      </c>
      <c r="AQ24">
        <f>AL24+($AM24*prefs!B$3)+($AN24*prefs!C$3)</f>
        <v>0.29198174038795605</v>
      </c>
      <c r="AR24">
        <f t="shared" si="17"/>
        <v>3.4993329183555133E-2</v>
      </c>
      <c r="AT24">
        <f t="shared" si="18"/>
        <v>0.69743033989503445</v>
      </c>
      <c r="AU24">
        <f t="shared" si="19"/>
        <v>0.3025696601049655</v>
      </c>
      <c r="AV24" s="56">
        <f t="shared" si="20"/>
        <v>0.99999999997965938</v>
      </c>
      <c r="AX24">
        <f t="shared" si="21"/>
        <v>0.676266646311523</v>
      </c>
      <c r="AY24">
        <f t="shared" si="22"/>
        <v>0.27636934365373483</v>
      </c>
      <c r="AZ24">
        <f t="shared" si="23"/>
        <v>4.736401003474211E-2</v>
      </c>
      <c r="BB24">
        <f t="shared" si="24"/>
        <v>0.70988987759761846</v>
      </c>
      <c r="BC24">
        <f t="shared" si="25"/>
        <v>0.29011012240238149</v>
      </c>
      <c r="BD24" s="74">
        <f t="shared" si="26"/>
        <v>0.99999999999887623</v>
      </c>
    </row>
    <row r="25" spans="1:56" x14ac:dyDescent="0.25">
      <c r="A25" t="s">
        <v>52</v>
      </c>
      <c r="B25" t="s">
        <v>3</v>
      </c>
      <c r="C25">
        <v>0.748</v>
      </c>
      <c r="E25">
        <f>C25+output!$E$10</f>
        <v>0.66474389079265217</v>
      </c>
      <c r="G25" t="s">
        <v>134</v>
      </c>
      <c r="H25" s="52">
        <f t="shared" si="4"/>
        <v>0</v>
      </c>
      <c r="I25" s="52">
        <f t="shared" si="5"/>
        <v>0</v>
      </c>
      <c r="J25" s="52">
        <f t="shared" si="6"/>
        <v>0</v>
      </c>
      <c r="K25" s="52">
        <f t="shared" si="7"/>
        <v>0</v>
      </c>
      <c r="L25" s="53">
        <f t="shared" si="8"/>
        <v>0</v>
      </c>
      <c r="M25" s="55">
        <f>IF(Z25="NOTSYD",E25+L25-L$97+regcalc!P$114,E25+L25-L$97+regcalc!K$114)</f>
        <v>0.695096557560549</v>
      </c>
      <c r="N25" s="56">
        <f t="shared" si="9"/>
        <v>0.99999999996566635</v>
      </c>
      <c r="P25" t="str">
        <f t="shared" si="10"/>
        <v/>
      </c>
      <c r="Q25" t="str">
        <f t="shared" si="11"/>
        <v/>
      </c>
      <c r="R25" s="57">
        <f t="shared" si="12"/>
        <v>0.66314683743447433</v>
      </c>
      <c r="S25" s="56">
        <f t="shared" si="13"/>
        <v>0.99999997554399545</v>
      </c>
      <c r="AB25">
        <v>0.65100000000000002</v>
      </c>
      <c r="AC25">
        <v>0.19600000000000001</v>
      </c>
      <c r="AD25">
        <v>8.7999999999999995E-2</v>
      </c>
      <c r="AF25" s="57">
        <f>AB25+IF($Z25="NOTSYD",regcalc!U$112*-0.5,regcalc!U$112*0.5)+output!E$4</f>
        <v>0.62865732484076431</v>
      </c>
      <c r="AG25" s="57">
        <f>AC25+IF($Z25="NOTSYD",regcalc!T$112*-0.5,regcalc!T$112*0.5)+output!E$5</f>
        <v>0.28033149971048066</v>
      </c>
      <c r="AH25" s="57">
        <f>AD25+IF($Z25="NOTSYD",regcalc!V$112*-0.5,regcalc!V$112*0.5)+output!E$6</f>
        <v>8.4650492182976239E-2</v>
      </c>
      <c r="AI25" s="57">
        <f t="shared" si="14"/>
        <v>6.360683265778766E-3</v>
      </c>
      <c r="AK25" s="57">
        <f t="shared" si="15"/>
        <v>0.62865732484076431</v>
      </c>
      <c r="AL25" s="57">
        <f t="shared" si="2"/>
        <v>0.28033149971048066</v>
      </c>
      <c r="AM25" s="57">
        <f t="shared" si="3"/>
        <v>8.4650492182976239E-2</v>
      </c>
      <c r="AN25" s="57">
        <f t="shared" si="16"/>
        <v>6.360683265778766E-3</v>
      </c>
      <c r="AP25">
        <f>AK25+($AM25*prefs!B$2)+($AN25*prefs!C$2)</f>
        <v>0.64274666957151128</v>
      </c>
      <c r="AQ25">
        <f>AL25+($AM25*prefs!B$3)+($AN25*prefs!C$3)</f>
        <v>0.3264906596120441</v>
      </c>
      <c r="AR25">
        <f t="shared" si="17"/>
        <v>3.0762670816444571E-2</v>
      </c>
      <c r="AT25">
        <f t="shared" si="18"/>
        <v>0.66314683743447433</v>
      </c>
      <c r="AU25">
        <f t="shared" si="19"/>
        <v>0.33685316256552567</v>
      </c>
      <c r="AV25" s="56">
        <f t="shared" si="20"/>
        <v>0.99999997554399545</v>
      </c>
      <c r="AX25">
        <f t="shared" si="21"/>
        <v>0.64746023368847705</v>
      </c>
      <c r="AY25">
        <f t="shared" si="22"/>
        <v>0.30229249634626526</v>
      </c>
      <c r="AZ25">
        <f t="shared" si="23"/>
        <v>5.0247269965257635E-2</v>
      </c>
      <c r="BB25">
        <f t="shared" si="24"/>
        <v>0.68171452759582241</v>
      </c>
      <c r="BC25">
        <f t="shared" si="25"/>
        <v>0.31828547240417754</v>
      </c>
      <c r="BD25" s="74">
        <f t="shared" si="26"/>
        <v>0.9999999993842118</v>
      </c>
    </row>
    <row r="26" spans="1:56" x14ac:dyDescent="0.25">
      <c r="A26" t="s">
        <v>53</v>
      </c>
      <c r="B26" t="s">
        <v>3</v>
      </c>
      <c r="C26">
        <v>0.86199999999999999</v>
      </c>
      <c r="E26">
        <f>C26+output!$E$10</f>
        <v>0.77874389079265216</v>
      </c>
      <c r="G26" t="s">
        <v>126</v>
      </c>
      <c r="H26" s="52">
        <f t="shared" si="4"/>
        <v>0</v>
      </c>
      <c r="I26" s="52">
        <f t="shared" si="5"/>
        <v>0</v>
      </c>
      <c r="J26" s="52">
        <f t="shared" si="6"/>
        <v>0</v>
      </c>
      <c r="K26" s="52">
        <f t="shared" si="7"/>
        <v>0</v>
      </c>
      <c r="L26" s="53">
        <f t="shared" si="8"/>
        <v>0</v>
      </c>
      <c r="M26" s="55">
        <f>IF(Z26="NOTSYD",E26+L26-L$97+regcalc!P$114,E26+L26-L$97+regcalc!K$114)</f>
        <v>0.80909655756054899</v>
      </c>
      <c r="N26" s="56">
        <f t="shared" si="9"/>
        <v>1</v>
      </c>
      <c r="P26" t="str">
        <f t="shared" si="10"/>
        <v/>
      </c>
      <c r="Q26" t="str">
        <f t="shared" si="11"/>
        <v/>
      </c>
      <c r="R26" s="57">
        <f t="shared" si="12"/>
        <v>0.75807398820980176</v>
      </c>
      <c r="S26" s="56">
        <f t="shared" si="13"/>
        <v>1</v>
      </c>
      <c r="AB26">
        <v>0.73799999999999999</v>
      </c>
      <c r="AC26">
        <v>8.4000000000000005E-2</v>
      </c>
      <c r="AD26">
        <v>0.128</v>
      </c>
      <c r="AF26" s="57">
        <f>AB26+IF($Z26="NOTSYD",regcalc!U$112*-0.5,regcalc!U$112*0.5)+output!E$4</f>
        <v>0.71565732484076428</v>
      </c>
      <c r="AG26" s="57">
        <f>AC26+IF($Z26="NOTSYD",regcalc!T$112*-0.5,regcalc!T$112*0.5)+output!E$5</f>
        <v>0.16833149971048061</v>
      </c>
      <c r="AH26" s="57">
        <f>AD26+IF($Z26="NOTSYD",regcalc!V$112*-0.5,regcalc!V$112*0.5)+output!E$6</f>
        <v>0.12465049218297625</v>
      </c>
      <c r="AI26" s="57">
        <f t="shared" si="14"/>
        <v>-8.6393167342211363E-3</v>
      </c>
      <c r="AK26" s="57">
        <f t="shared" si="15"/>
        <v>0.70952749210483301</v>
      </c>
      <c r="AL26" s="57">
        <f t="shared" si="2"/>
        <v>0.1668896868461418</v>
      </c>
      <c r="AM26" s="57">
        <f t="shared" si="3"/>
        <v>0.12358282104902515</v>
      </c>
      <c r="AN26" s="57">
        <f t="shared" si="16"/>
        <v>0</v>
      </c>
      <c r="AP26">
        <f>AK26+($AM26*prefs!B$2)+($AN26*prefs!C$2)</f>
        <v>0.72818849808323582</v>
      </c>
      <c r="AQ26">
        <f>AL26+($AM26*prefs!B$3)+($AN26*prefs!C$3)</f>
        <v>0.23238858200212514</v>
      </c>
      <c r="AR26">
        <f t="shared" si="17"/>
        <v>3.9422919914638976E-2</v>
      </c>
      <c r="AT26">
        <f t="shared" si="18"/>
        <v>0.75807398820980176</v>
      </c>
      <c r="AU26">
        <f t="shared" si="19"/>
        <v>0.24192601179019813</v>
      </c>
      <c r="AV26" s="56">
        <f t="shared" si="20"/>
        <v>1</v>
      </c>
      <c r="AX26">
        <f t="shared" si="21"/>
        <v>0.7350597029335616</v>
      </c>
      <c r="AY26">
        <f t="shared" si="22"/>
        <v>0.19671022156527157</v>
      </c>
      <c r="AZ26">
        <f t="shared" si="23"/>
        <v>6.8230075501166887E-2</v>
      </c>
      <c r="BB26">
        <f t="shared" si="24"/>
        <v>0.7888854143139733</v>
      </c>
      <c r="BC26">
        <f t="shared" si="25"/>
        <v>0.21111458568602673</v>
      </c>
      <c r="BD26" s="74">
        <f t="shared" si="26"/>
        <v>1</v>
      </c>
    </row>
    <row r="27" spans="1:56" x14ac:dyDescent="0.25">
      <c r="A27" t="s">
        <v>54</v>
      </c>
      <c r="B27" t="s">
        <v>3</v>
      </c>
      <c r="C27">
        <v>0.67100000000000004</v>
      </c>
      <c r="E27">
        <f>C27+output!$E$10</f>
        <v>0.58774389079265221</v>
      </c>
      <c r="G27" t="s">
        <v>135</v>
      </c>
      <c r="H27" s="52">
        <f t="shared" si="4"/>
        <v>0</v>
      </c>
      <c r="I27" s="52">
        <f t="shared" si="5"/>
        <v>1</v>
      </c>
      <c r="J27" s="52">
        <f t="shared" si="6"/>
        <v>1</v>
      </c>
      <c r="K27" s="52">
        <f t="shared" si="7"/>
        <v>1</v>
      </c>
      <c r="L27" s="53">
        <f t="shared" si="8"/>
        <v>2.1999999999999999E-2</v>
      </c>
      <c r="M27" s="55">
        <f>IF(Z27="NOTSYD",E27+L27-L$97+regcalc!P$114,E27+L27-L$97+regcalc!K$114)</f>
        <v>0.64009655756054906</v>
      </c>
      <c r="N27" s="56">
        <f t="shared" si="9"/>
        <v>0.99999859662400203</v>
      </c>
      <c r="P27" t="str">
        <f t="shared" si="10"/>
        <v/>
      </c>
      <c r="Q27" t="str">
        <f t="shared" si="11"/>
        <v/>
      </c>
      <c r="R27" s="57">
        <f t="shared" si="12"/>
        <v>0.59213670649694905</v>
      </c>
      <c r="S27" s="56">
        <f t="shared" si="13"/>
        <v>0.9989678439413423</v>
      </c>
      <c r="AB27">
        <v>0.56599999999999995</v>
      </c>
      <c r="AC27">
        <v>0.248</v>
      </c>
      <c r="AD27">
        <v>9.8000000000000004E-2</v>
      </c>
      <c r="AF27" s="57">
        <f>AB27+IF($Z27="NOTSYD",regcalc!U$112*-0.5,regcalc!U$112*0.5)+output!E$4</f>
        <v>0.54365732484076434</v>
      </c>
      <c r="AG27" s="57">
        <f>AC27+IF($Z27="NOTSYD",regcalc!T$112*-0.5,regcalc!T$112*0.5)+output!E$5</f>
        <v>0.33233149971048059</v>
      </c>
      <c r="AH27" s="57">
        <f>AD27+IF($Z27="NOTSYD",regcalc!V$112*-0.5,regcalc!V$112*0.5)+output!E$6</f>
        <v>9.4650492182976248E-2</v>
      </c>
      <c r="AI27" s="57">
        <f t="shared" si="14"/>
        <v>2.9360683265778786E-2</v>
      </c>
      <c r="AK27" s="57">
        <f t="shared" si="15"/>
        <v>0.54365732484076434</v>
      </c>
      <c r="AL27" s="57">
        <f t="shared" si="2"/>
        <v>0.33233149971048059</v>
      </c>
      <c r="AM27" s="57">
        <f t="shared" si="3"/>
        <v>9.4650492182976248E-2</v>
      </c>
      <c r="AN27" s="57">
        <f t="shared" si="16"/>
        <v>2.9360683265778786E-2</v>
      </c>
      <c r="AP27">
        <f>AK27+($AM27*prefs!B$2)+($AN27*prefs!C$2)</f>
        <v>0.56398316957151129</v>
      </c>
      <c r="AQ27">
        <f>AL27+($AM27*prefs!B$3)+($AN27*prefs!C$3)</f>
        <v>0.38847115961204398</v>
      </c>
      <c r="AR27">
        <f t="shared" si="17"/>
        <v>4.7545670816444785E-2</v>
      </c>
      <c r="AT27">
        <f t="shared" si="18"/>
        <v>0.59213670649694905</v>
      </c>
      <c r="AU27">
        <f t="shared" si="19"/>
        <v>0.40786329350305106</v>
      </c>
      <c r="AV27" s="56">
        <f t="shared" si="20"/>
        <v>0.9989678439413423</v>
      </c>
      <c r="AX27">
        <f t="shared" si="21"/>
        <v>0.56927803368847718</v>
      </c>
      <c r="AY27">
        <f t="shared" si="22"/>
        <v>0.36225539634626519</v>
      </c>
      <c r="AZ27">
        <f t="shared" si="23"/>
        <v>6.8466569965257573E-2</v>
      </c>
      <c r="BB27">
        <f t="shared" si="24"/>
        <v>0.61111927423500567</v>
      </c>
      <c r="BC27">
        <f t="shared" si="25"/>
        <v>0.38888072576499433</v>
      </c>
      <c r="BD27" s="74">
        <f t="shared" si="26"/>
        <v>0.99989861880088415</v>
      </c>
    </row>
    <row r="28" spans="1:56" x14ac:dyDescent="0.25">
      <c r="A28" t="s">
        <v>55</v>
      </c>
      <c r="B28" t="s">
        <v>3</v>
      </c>
      <c r="C28">
        <v>0.81299999999999994</v>
      </c>
      <c r="E28">
        <f>C28+output!$E$10</f>
        <v>0.72974389079265212</v>
      </c>
      <c r="G28" t="s">
        <v>135</v>
      </c>
      <c r="H28" s="52">
        <f t="shared" si="4"/>
        <v>0</v>
      </c>
      <c r="I28" s="52">
        <f t="shared" si="5"/>
        <v>1</v>
      </c>
      <c r="J28" s="52">
        <f t="shared" si="6"/>
        <v>1</v>
      </c>
      <c r="K28" s="52">
        <f t="shared" si="7"/>
        <v>0</v>
      </c>
      <c r="L28" s="53">
        <f t="shared" si="8"/>
        <v>1.3999999999999999E-2</v>
      </c>
      <c r="M28" s="55">
        <f>IF(Z28="NOTSYD",E28+L28-L$97+regcalc!P$114,E28+L28-L$97+regcalc!K$114)</f>
        <v>0.84440539853206553</v>
      </c>
      <c r="N28" s="56">
        <f t="shared" si="9"/>
        <v>1</v>
      </c>
      <c r="P28" t="str">
        <f t="shared" si="10"/>
        <v/>
      </c>
      <c r="Q28" t="str">
        <f t="shared" si="11"/>
        <v/>
      </c>
      <c r="R28" s="57">
        <f t="shared" si="12"/>
        <v>0.68953537767254724</v>
      </c>
      <c r="S28" s="56">
        <f t="shared" si="13"/>
        <v>0.99999999988330457</v>
      </c>
      <c r="Z28" t="s">
        <v>138</v>
      </c>
      <c r="AB28">
        <v>0.60199999999999998</v>
      </c>
      <c r="AC28">
        <v>9.5000000000000001E-2</v>
      </c>
      <c r="AD28">
        <v>3.5999999999999997E-2</v>
      </c>
      <c r="AF28" s="57">
        <f>AB28+IF($Z28="NOTSYD",regcalc!U$112*-0.5,regcalc!U$112*0.5)+output!E$4</f>
        <v>0.5135426751592358</v>
      </c>
      <c r="AG28" s="57">
        <f>AC28+IF($Z28="NOTSYD",regcalc!T$112*-0.5,regcalc!T$112*0.5)+output!E$5</f>
        <v>0.18366850028951942</v>
      </c>
      <c r="AH28" s="57">
        <f>AD28+IF($Z28="NOTSYD",regcalc!V$112*-0.5,regcalc!V$112*0.5)+output!E$6</f>
        <v>3.974950781702373E-2</v>
      </c>
      <c r="AI28" s="57">
        <f t="shared" si="14"/>
        <v>0.2630393167342211</v>
      </c>
      <c r="AK28" s="57">
        <f t="shared" si="15"/>
        <v>0.5135426751592358</v>
      </c>
      <c r="AL28" s="57">
        <f t="shared" si="2"/>
        <v>0.18366850028951942</v>
      </c>
      <c r="AM28" s="57">
        <f t="shared" si="3"/>
        <v>3.974950781702373E-2</v>
      </c>
      <c r="AN28" s="57">
        <f t="shared" si="16"/>
        <v>0.2630393167342211</v>
      </c>
      <c r="AP28">
        <f>AK28+($AM28*prefs!B$2)+($AN28*prefs!C$2)</f>
        <v>0.57359943042848882</v>
      </c>
      <c r="AQ28">
        <f>AL28+($AM28*prefs!B$3)+($AN28*prefs!C$3)</f>
        <v>0.25826424038795598</v>
      </c>
      <c r="AR28">
        <f t="shared" si="17"/>
        <v>0.16813632918355514</v>
      </c>
      <c r="AT28">
        <f t="shared" si="18"/>
        <v>0.68953537767254724</v>
      </c>
      <c r="AU28">
        <f t="shared" si="19"/>
        <v>0.3104646223274527</v>
      </c>
      <c r="AV28" s="56">
        <f t="shared" si="20"/>
        <v>0.99999999988330457</v>
      </c>
      <c r="AX28">
        <f t="shared" si="21"/>
        <v>0.57609884631152297</v>
      </c>
      <c r="AY28">
        <f t="shared" si="22"/>
        <v>0.25673144365373479</v>
      </c>
      <c r="AZ28">
        <f t="shared" si="23"/>
        <v>0.16716971003474224</v>
      </c>
      <c r="BB28">
        <f t="shared" si="24"/>
        <v>0.69173618353332877</v>
      </c>
      <c r="BC28">
        <f t="shared" si="25"/>
        <v>0.30826381646667123</v>
      </c>
      <c r="BD28" s="74">
        <f t="shared" si="26"/>
        <v>0.99999999992779975</v>
      </c>
    </row>
    <row r="29" spans="1:56" x14ac:dyDescent="0.25">
      <c r="A29" t="s">
        <v>56</v>
      </c>
      <c r="B29" t="s">
        <v>3</v>
      </c>
      <c r="C29">
        <v>0.502</v>
      </c>
      <c r="E29">
        <f>C29+output!$E$10</f>
        <v>0.41874389079265217</v>
      </c>
      <c r="G29" t="s">
        <v>135</v>
      </c>
      <c r="H29" s="52">
        <f t="shared" si="4"/>
        <v>0</v>
      </c>
      <c r="I29" s="52">
        <f t="shared" si="5"/>
        <v>1</v>
      </c>
      <c r="J29" s="52">
        <f t="shared" si="6"/>
        <v>1</v>
      </c>
      <c r="K29" s="52">
        <f t="shared" si="7"/>
        <v>1</v>
      </c>
      <c r="L29" s="53">
        <f t="shared" si="8"/>
        <v>2.1999999999999999E-2</v>
      </c>
      <c r="M29" s="55">
        <f>IF(Z29="NOTSYD",E29+L29-L$97+regcalc!P$114,E29+L29-L$97+regcalc!K$114)</f>
        <v>0.47109655756054897</v>
      </c>
      <c r="N29" s="56">
        <f t="shared" si="9"/>
        <v>0.16690737923132537</v>
      </c>
      <c r="P29" t="str">
        <f t="shared" si="10"/>
        <v/>
      </c>
      <c r="Q29" t="str">
        <f t="shared" si="11"/>
        <v>X</v>
      </c>
      <c r="R29" s="57">
        <f t="shared" si="12"/>
        <v>0.43553740407747449</v>
      </c>
      <c r="S29" s="56">
        <f t="shared" si="13"/>
        <v>1.5562636302793531E-2</v>
      </c>
      <c r="AB29">
        <v>0.41299999999999998</v>
      </c>
      <c r="AC29">
        <v>0.41099999999999998</v>
      </c>
      <c r="AD29">
        <v>4.9000000000000002E-2</v>
      </c>
      <c r="AF29" s="57">
        <f>AB29+IF($Z29="NOTSYD",regcalc!U$112*-0.5,regcalc!U$112*0.5)+output!E$4</f>
        <v>0.39065732484076438</v>
      </c>
      <c r="AG29" s="57">
        <f>AC29+IF($Z29="NOTSYD",regcalc!T$112*-0.5,regcalc!T$112*0.5)+output!E$5</f>
        <v>0.49533149971048057</v>
      </c>
      <c r="AH29" s="57">
        <f>AD29+IF($Z29="NOTSYD",regcalc!V$112*-0.5,regcalc!V$112*0.5)+output!E$6</f>
        <v>4.5650492182976253E-2</v>
      </c>
      <c r="AI29" s="57">
        <f t="shared" si="14"/>
        <v>6.8360683265778821E-2</v>
      </c>
      <c r="AK29" s="57">
        <f t="shared" si="15"/>
        <v>0.39065732484076438</v>
      </c>
      <c r="AL29" s="57">
        <f t="shared" si="2"/>
        <v>0.49533149971048057</v>
      </c>
      <c r="AM29" s="57">
        <f t="shared" si="3"/>
        <v>4.5650492182976253E-2</v>
      </c>
      <c r="AN29" s="57">
        <f t="shared" si="16"/>
        <v>6.8360683265778821E-2</v>
      </c>
      <c r="AP29">
        <f>AK29+($AM29*prefs!B$2)+($AN29*prefs!C$2)</f>
        <v>0.41159866957151131</v>
      </c>
      <c r="AQ29">
        <f>AL29+($AM29*prefs!B$3)+($AN29*prefs!C$3)</f>
        <v>0.53343765961204392</v>
      </c>
      <c r="AR29">
        <f t="shared" si="17"/>
        <v>5.496367081644471E-2</v>
      </c>
      <c r="AT29">
        <f t="shared" si="18"/>
        <v>0.43553740407747449</v>
      </c>
      <c r="AU29">
        <f t="shared" si="19"/>
        <v>0.56446259592252546</v>
      </c>
      <c r="AV29" s="56">
        <f t="shared" si="20"/>
        <v>1.5562636302793531E-2</v>
      </c>
      <c r="AX29">
        <f t="shared" si="21"/>
        <v>0.4142120336884772</v>
      </c>
      <c r="AY29">
        <f t="shared" si="22"/>
        <v>0.52284239634626517</v>
      </c>
      <c r="AZ29">
        <f t="shared" si="23"/>
        <v>6.2945569965257686E-2</v>
      </c>
      <c r="BB29">
        <f t="shared" si="24"/>
        <v>0.4420362578864494</v>
      </c>
      <c r="BC29">
        <f t="shared" si="25"/>
        <v>0.55796374211355071</v>
      </c>
      <c r="BD29" s="74">
        <f t="shared" si="26"/>
        <v>2.6301724990035691E-2</v>
      </c>
    </row>
    <row r="30" spans="1:56" x14ac:dyDescent="0.25">
      <c r="A30" t="s">
        <v>57</v>
      </c>
      <c r="B30" t="s">
        <v>3</v>
      </c>
      <c r="C30">
        <v>0.77500000000000002</v>
      </c>
      <c r="E30">
        <f>C30+output!$E$10</f>
        <v>0.69174389079265219</v>
      </c>
      <c r="G30" t="s">
        <v>136</v>
      </c>
      <c r="H30" s="52">
        <f t="shared" si="4"/>
        <v>1</v>
      </c>
      <c r="I30" s="52">
        <f t="shared" si="5"/>
        <v>0</v>
      </c>
      <c r="J30" s="52">
        <f t="shared" si="6"/>
        <v>0</v>
      </c>
      <c r="K30" s="52">
        <f t="shared" si="7"/>
        <v>0</v>
      </c>
      <c r="L30" s="53">
        <f t="shared" si="8"/>
        <v>-0.01</v>
      </c>
      <c r="M30" s="55">
        <f>IF(Z30="NOTSYD",E30+L30-L$97+regcalc!P$114,E30+L30-L$97+regcalc!K$114)</f>
        <v>0.71209655756054901</v>
      </c>
      <c r="N30" s="56">
        <f t="shared" si="9"/>
        <v>0.99999999999933897</v>
      </c>
      <c r="P30" t="str">
        <f t="shared" si="10"/>
        <v/>
      </c>
      <c r="Q30" t="str">
        <f t="shared" si="11"/>
        <v/>
      </c>
      <c r="R30" s="57">
        <f t="shared" si="12"/>
        <v>0.67729314717795974</v>
      </c>
      <c r="S30" s="56">
        <f t="shared" si="13"/>
        <v>0.99999999846898735</v>
      </c>
      <c r="AB30">
        <v>0.628</v>
      </c>
      <c r="AC30">
        <v>0.14499999999999999</v>
      </c>
      <c r="AD30">
        <v>0.122</v>
      </c>
      <c r="AF30" s="57">
        <f>AB30+IF($Z30="NOTSYD",regcalc!U$112*-0.5,regcalc!U$112*0.5)+output!E$4</f>
        <v>0.6056573248407644</v>
      </c>
      <c r="AG30" s="57">
        <f>AC30+IF($Z30="NOTSYD",regcalc!T$112*-0.5,regcalc!T$112*0.5)+output!E$5</f>
        <v>0.22933149971048061</v>
      </c>
      <c r="AH30" s="57">
        <f>AD30+IF($Z30="NOTSYD",regcalc!V$112*-0.5,regcalc!V$112*0.5)+output!E$6</f>
        <v>0.11865049218297624</v>
      </c>
      <c r="AI30" s="57">
        <f t="shared" si="14"/>
        <v>4.6360683265778801E-2</v>
      </c>
      <c r="AK30" s="57">
        <f t="shared" si="15"/>
        <v>0.6056573248407644</v>
      </c>
      <c r="AL30" s="57">
        <f t="shared" si="2"/>
        <v>0.22933149971048061</v>
      </c>
      <c r="AM30" s="57">
        <f t="shared" si="3"/>
        <v>0.11865049218297624</v>
      </c>
      <c r="AN30" s="57">
        <f t="shared" si="16"/>
        <v>4.6360683265778801E-2</v>
      </c>
      <c r="AP30">
        <f>AK30+($AM30*prefs!B$2)+($AN30*prefs!C$2)</f>
        <v>0.63310066957151134</v>
      </c>
      <c r="AQ30">
        <f>AL30+($AM30*prefs!B$3)+($AN30*prefs!C$3)</f>
        <v>0.30165065961204401</v>
      </c>
      <c r="AR30">
        <f t="shared" si="17"/>
        <v>6.5248670816444587E-2</v>
      </c>
      <c r="AT30">
        <f t="shared" si="18"/>
        <v>0.67729314717795974</v>
      </c>
      <c r="AU30">
        <f t="shared" si="19"/>
        <v>0.32270685282204015</v>
      </c>
      <c r="AV30" s="56">
        <f t="shared" si="20"/>
        <v>0.99999999846898735</v>
      </c>
      <c r="AX30">
        <f t="shared" si="21"/>
        <v>0.63974863368847723</v>
      </c>
      <c r="AY30">
        <f t="shared" si="22"/>
        <v>0.2691486963462652</v>
      </c>
      <c r="AZ30">
        <f t="shared" si="23"/>
        <v>9.110266996525751E-2</v>
      </c>
      <c r="BB30">
        <f t="shared" si="24"/>
        <v>0.7038733777158559</v>
      </c>
      <c r="BC30">
        <f t="shared" si="25"/>
        <v>0.29612662228414405</v>
      </c>
      <c r="BD30" s="74">
        <f t="shared" si="26"/>
        <v>0.99999999999535238</v>
      </c>
    </row>
    <row r="31" spans="1:56" x14ac:dyDescent="0.25">
      <c r="A31" s="50" t="s">
        <v>58</v>
      </c>
      <c r="B31" t="s">
        <v>4</v>
      </c>
      <c r="C31">
        <v>0.47799999999999998</v>
      </c>
      <c r="E31">
        <f>C31+output!$E$10</f>
        <v>0.39474389079265215</v>
      </c>
      <c r="G31" t="s">
        <v>130</v>
      </c>
      <c r="H31" s="52">
        <f t="shared" si="4"/>
        <v>0</v>
      </c>
      <c r="I31" s="52">
        <f t="shared" si="5"/>
        <v>0</v>
      </c>
      <c r="J31" s="52">
        <f t="shared" si="6"/>
        <v>0</v>
      </c>
      <c r="K31" s="52">
        <f t="shared" si="7"/>
        <v>0</v>
      </c>
      <c r="L31" s="53">
        <f t="shared" si="8"/>
        <v>0</v>
      </c>
      <c r="M31" s="55">
        <f>IF(Z31="NOTSYD",E31+L31-L$97+regcalc!P$114,E31+L31-L$97+regcalc!K$114)</f>
        <v>0.42509655756054893</v>
      </c>
      <c r="N31" s="56">
        <f t="shared" si="9"/>
        <v>6.129788983512463E-3</v>
      </c>
      <c r="P31" t="str">
        <f t="shared" si="10"/>
        <v/>
      </c>
      <c r="Q31" t="str">
        <f t="shared" si="11"/>
        <v/>
      </c>
      <c r="R31" s="57">
        <f t="shared" si="12"/>
        <v>0.40964744894387173</v>
      </c>
      <c r="S31" s="56">
        <f t="shared" si="13"/>
        <v>1.2590305264984503E-3</v>
      </c>
      <c r="AB31">
        <v>0.38900000000000001</v>
      </c>
      <c r="AC31">
        <v>0.42899999999999999</v>
      </c>
      <c r="AD31">
        <v>6.8000000000000005E-2</v>
      </c>
      <c r="AF31" s="57">
        <f>AB31+IF($Z31="NOTSYD",regcalc!U$112*-0.5,regcalc!U$112*0.5)+output!E$4</f>
        <v>0.36665732484076441</v>
      </c>
      <c r="AG31" s="57">
        <f>AC31+IF($Z31="NOTSYD",regcalc!T$112*-0.5,regcalc!T$112*0.5)+output!E$5</f>
        <v>0.51333149971048053</v>
      </c>
      <c r="AH31" s="57">
        <f>AD31+IF($Z31="NOTSYD",regcalc!V$112*-0.5,regcalc!V$112*0.5)+output!E$6</f>
        <v>6.4650492182976249E-2</v>
      </c>
      <c r="AI31" s="57">
        <f t="shared" si="14"/>
        <v>5.5360683265778809E-2</v>
      </c>
      <c r="AK31" s="57">
        <f t="shared" si="15"/>
        <v>0.36665732484076441</v>
      </c>
      <c r="AL31" s="57">
        <f t="shared" si="2"/>
        <v>0.51333149971048053</v>
      </c>
      <c r="AM31" s="57">
        <f t="shared" si="3"/>
        <v>6.4650492182976249E-2</v>
      </c>
      <c r="AN31" s="57">
        <f t="shared" si="16"/>
        <v>5.5360683265778809E-2</v>
      </c>
      <c r="AP31">
        <f>AK31+($AM31*prefs!B$2)+($AN31*prefs!C$2)</f>
        <v>0.38779616957151136</v>
      </c>
      <c r="AQ31">
        <f>AL31+($AM31*prefs!B$3)+($AN31*prefs!C$3)</f>
        <v>0.55886215961204389</v>
      </c>
      <c r="AR31">
        <f t="shared" si="17"/>
        <v>5.3341670816444697E-2</v>
      </c>
      <c r="AT31">
        <f t="shared" si="18"/>
        <v>0.40964744894387173</v>
      </c>
      <c r="AU31">
        <f t="shared" si="19"/>
        <v>0.59035255105612827</v>
      </c>
      <c r="AV31" s="56">
        <f t="shared" si="20"/>
        <v>1.2590305264984503E-3</v>
      </c>
      <c r="AX31">
        <f t="shared" si="21"/>
        <v>0.39145163368847719</v>
      </c>
      <c r="AY31">
        <f t="shared" si="22"/>
        <v>0.54229019634626507</v>
      </c>
      <c r="AZ31">
        <f t="shared" si="23"/>
        <v>6.6258169965257796E-2</v>
      </c>
      <c r="BB31">
        <f t="shared" si="24"/>
        <v>0.41922897860740826</v>
      </c>
      <c r="BC31">
        <f t="shared" si="25"/>
        <v>0.58077102139259185</v>
      </c>
      <c r="BD31" s="74">
        <f t="shared" si="26"/>
        <v>3.4588510872937128E-3</v>
      </c>
    </row>
    <row r="32" spans="1:56" x14ac:dyDescent="0.25">
      <c r="A32" t="s">
        <v>59</v>
      </c>
      <c r="B32" t="s">
        <v>3</v>
      </c>
      <c r="C32">
        <v>0.61899999999999999</v>
      </c>
      <c r="E32">
        <f>C32+output!$E$10</f>
        <v>0.53574389079265217</v>
      </c>
      <c r="G32" t="s">
        <v>135</v>
      </c>
      <c r="H32" s="52">
        <f t="shared" si="4"/>
        <v>0</v>
      </c>
      <c r="I32" s="52">
        <f t="shared" si="5"/>
        <v>1</v>
      </c>
      <c r="J32" s="52">
        <f t="shared" si="6"/>
        <v>1</v>
      </c>
      <c r="K32" s="52">
        <f t="shared" si="7"/>
        <v>0</v>
      </c>
      <c r="L32" s="53">
        <f t="shared" si="8"/>
        <v>1.3999999999999999E-2</v>
      </c>
      <c r="M32" s="55">
        <f>IF(Z32="NOTSYD",E32+L32-L$97+regcalc!P$114,E32+L32-L$97+regcalc!K$114)</f>
        <v>0.65040539853206558</v>
      </c>
      <c r="N32" s="56">
        <f t="shared" si="9"/>
        <v>0.99999975370796801</v>
      </c>
      <c r="P32" t="str">
        <f t="shared" si="10"/>
        <v/>
      </c>
      <c r="Q32" t="str">
        <f t="shared" si="11"/>
        <v/>
      </c>
      <c r="R32" s="57">
        <f t="shared" si="12"/>
        <v>0.50030487838519899</v>
      </c>
      <c r="S32" s="56">
        <f t="shared" si="13"/>
        <v>0.5040668940518942</v>
      </c>
      <c r="Z32" t="s">
        <v>138</v>
      </c>
      <c r="AB32">
        <v>0.501</v>
      </c>
      <c r="AC32">
        <v>0.27700000000000002</v>
      </c>
      <c r="AD32">
        <v>0.11899999999999999</v>
      </c>
      <c r="AF32" s="57">
        <f>AB32+IF($Z32="NOTSYD",regcalc!U$112*-0.5,regcalc!U$112*0.5)+output!E$4</f>
        <v>0.41254267515923571</v>
      </c>
      <c r="AG32" s="57">
        <f>AC32+IF($Z32="NOTSYD",regcalc!T$112*-0.5,regcalc!T$112*0.5)+output!E$5</f>
        <v>0.36566850028951947</v>
      </c>
      <c r="AH32" s="57">
        <f>AD32+IF($Z32="NOTSYD",regcalc!V$112*-0.5,regcalc!V$112*0.5)+output!E$6</f>
        <v>0.12274950781702373</v>
      </c>
      <c r="AI32" s="57">
        <f t="shared" si="14"/>
        <v>9.9039316734221061E-2</v>
      </c>
      <c r="AK32" s="57">
        <f t="shared" si="15"/>
        <v>0.41254267515923571</v>
      </c>
      <c r="AL32" s="57">
        <f t="shared" si="2"/>
        <v>0.36566850028951947</v>
      </c>
      <c r="AM32" s="57">
        <f t="shared" si="3"/>
        <v>0.12274950781702373</v>
      </c>
      <c r="AN32" s="57">
        <f t="shared" si="16"/>
        <v>9.9039316734221061E-2</v>
      </c>
      <c r="AP32">
        <f>AK32+($AM32*prefs!B$2)+($AN32*prefs!C$2)</f>
        <v>0.45143043042848874</v>
      </c>
      <c r="AQ32">
        <f>AL32+($AM32*prefs!B$3)+($AN32*prefs!C$3)</f>
        <v>0.45088024038795604</v>
      </c>
      <c r="AR32">
        <f t="shared" si="17"/>
        <v>9.7689329183555218E-2</v>
      </c>
      <c r="AT32">
        <f t="shared" si="18"/>
        <v>0.50030487838519899</v>
      </c>
      <c r="AU32">
        <f t="shared" si="19"/>
        <v>0.49969512161480101</v>
      </c>
      <c r="AV32" s="56">
        <f t="shared" si="20"/>
        <v>0.5040668940518942</v>
      </c>
      <c r="AX32">
        <f t="shared" si="21"/>
        <v>0.45836424631152289</v>
      </c>
      <c r="AY32">
        <f t="shared" si="22"/>
        <v>0.41918614365373486</v>
      </c>
      <c r="AZ32">
        <f t="shared" si="23"/>
        <v>0.12244961003474231</v>
      </c>
      <c r="BB32">
        <f t="shared" si="24"/>
        <v>0.52232242336496437</v>
      </c>
      <c r="BC32">
        <f t="shared" si="25"/>
        <v>0.47767757663503574</v>
      </c>
      <c r="BD32" s="74">
        <f t="shared" si="26"/>
        <v>0.77228884932956743</v>
      </c>
    </row>
    <row r="33" spans="1:56" x14ac:dyDescent="0.25">
      <c r="A33" t="s">
        <v>60</v>
      </c>
      <c r="B33" t="s">
        <v>3</v>
      </c>
      <c r="C33">
        <v>0.76800000000000002</v>
      </c>
      <c r="E33">
        <f>C33+output!$E$10</f>
        <v>0.68474389079265219</v>
      </c>
      <c r="G33" t="s">
        <v>126</v>
      </c>
      <c r="H33" s="52">
        <f t="shared" si="4"/>
        <v>0</v>
      </c>
      <c r="I33" s="52">
        <f t="shared" si="5"/>
        <v>0</v>
      </c>
      <c r="J33" s="52">
        <f t="shared" si="6"/>
        <v>0</v>
      </c>
      <c r="K33" s="52">
        <f t="shared" si="7"/>
        <v>0</v>
      </c>
      <c r="L33" s="53">
        <f t="shared" si="8"/>
        <v>0</v>
      </c>
      <c r="M33" s="55">
        <f>IF(Z33="NOTSYD",E33+L33-L$97+regcalc!P$114,E33+L33-L$97+regcalc!K$114)</f>
        <v>0.78540539853206559</v>
      </c>
      <c r="N33" s="56">
        <f t="shared" si="9"/>
        <v>1</v>
      </c>
      <c r="P33" t="str">
        <f t="shared" si="10"/>
        <v/>
      </c>
      <c r="Q33" t="str">
        <f t="shared" si="11"/>
        <v/>
      </c>
      <c r="R33" s="57">
        <f t="shared" si="12"/>
        <v>0.6479936880366266</v>
      </c>
      <c r="S33" s="56">
        <f t="shared" si="13"/>
        <v>0.99999962613422266</v>
      </c>
      <c r="Z33" t="s">
        <v>138</v>
      </c>
      <c r="AB33">
        <v>0.64400000000000002</v>
      </c>
      <c r="AC33">
        <v>0.158</v>
      </c>
      <c r="AD33">
        <v>0.1</v>
      </c>
      <c r="AF33" s="57">
        <f>AB33+IF($Z33="NOTSYD",regcalc!U$112*-0.5,regcalc!U$112*0.5)+output!E$4</f>
        <v>0.55554267515923583</v>
      </c>
      <c r="AG33" s="57">
        <f>AC33+IF($Z33="NOTSYD",regcalc!T$112*-0.5,regcalc!T$112*0.5)+output!E$5</f>
        <v>0.24666850028951942</v>
      </c>
      <c r="AH33" s="57">
        <f>AD33+IF($Z33="NOTSYD",regcalc!V$112*-0.5,regcalc!V$112*0.5)+output!E$6</f>
        <v>0.10374950781702375</v>
      </c>
      <c r="AI33" s="57">
        <f t="shared" si="14"/>
        <v>9.4039316734220946E-2</v>
      </c>
      <c r="AK33" s="57">
        <f t="shared" si="15"/>
        <v>0.55554267515923583</v>
      </c>
      <c r="AL33" s="57">
        <f t="shared" si="2"/>
        <v>0.24666850028951942</v>
      </c>
      <c r="AM33" s="57">
        <f t="shared" si="3"/>
        <v>0.10374950781702375</v>
      </c>
      <c r="AN33" s="57">
        <f t="shared" si="16"/>
        <v>9.4039316734220946E-2</v>
      </c>
      <c r="AP33">
        <f>AK33+($AM33*prefs!B$2)+($AN33*prefs!C$2)</f>
        <v>0.59053393042848878</v>
      </c>
      <c r="AQ33">
        <f>AL33+($AM33*prefs!B$3)+($AN33*prefs!C$3)</f>
        <v>0.32079274038795597</v>
      </c>
      <c r="AR33">
        <f t="shared" si="17"/>
        <v>8.8673329183555305E-2</v>
      </c>
      <c r="AT33">
        <f t="shared" si="18"/>
        <v>0.6479936880366266</v>
      </c>
      <c r="AU33">
        <f t="shared" si="19"/>
        <v>0.35200631196337345</v>
      </c>
      <c r="AV33" s="56">
        <f t="shared" si="20"/>
        <v>0.99999962613422266</v>
      </c>
      <c r="AX33">
        <f t="shared" si="21"/>
        <v>0.59640584631152294</v>
      </c>
      <c r="AY33">
        <f t="shared" si="22"/>
        <v>0.29439494365373475</v>
      </c>
      <c r="AZ33">
        <f t="shared" si="23"/>
        <v>0.10919921003474231</v>
      </c>
      <c r="BB33">
        <f t="shared" si="24"/>
        <v>0.66951652157244212</v>
      </c>
      <c r="BC33">
        <f t="shared" si="25"/>
        <v>0.33048347842755788</v>
      </c>
      <c r="BD33" s="74">
        <f t="shared" si="26"/>
        <v>0.99999999278502683</v>
      </c>
    </row>
    <row r="34" spans="1:56" x14ac:dyDescent="0.25">
      <c r="A34" t="s">
        <v>61</v>
      </c>
      <c r="B34" t="s">
        <v>3</v>
      </c>
      <c r="C34">
        <v>0.53800000000000003</v>
      </c>
      <c r="E34">
        <f>C34+output!$E$10</f>
        <v>0.45474389079265221</v>
      </c>
      <c r="G34" t="s">
        <v>135</v>
      </c>
      <c r="H34" s="52">
        <f t="shared" si="4"/>
        <v>0</v>
      </c>
      <c r="I34" s="52">
        <f t="shared" si="5"/>
        <v>1</v>
      </c>
      <c r="J34" s="52">
        <f t="shared" si="6"/>
        <v>1</v>
      </c>
      <c r="K34" s="52">
        <f t="shared" si="7"/>
        <v>1</v>
      </c>
      <c r="L34" s="53">
        <f t="shared" si="8"/>
        <v>2.1999999999999999E-2</v>
      </c>
      <c r="M34" s="55">
        <f>IF(Z34="NOTSYD",E34+L34-L$97+regcalc!P$114,E34+L34-L$97+regcalc!K$114)</f>
        <v>0.50709655756054905</v>
      </c>
      <c r="N34" s="56">
        <f t="shared" si="9"/>
        <v>0.59378450838950458</v>
      </c>
      <c r="P34" t="str">
        <f t="shared" si="10"/>
        <v>X</v>
      </c>
      <c r="R34" s="57">
        <f t="shared" si="12"/>
        <v>0.46170601856564497</v>
      </c>
      <c r="S34" s="56">
        <f t="shared" si="13"/>
        <v>0.10019264200915501</v>
      </c>
      <c r="AB34">
        <v>0.42499999999999999</v>
      </c>
      <c r="AC34">
        <v>0.36899999999999999</v>
      </c>
      <c r="AD34">
        <v>5.8000000000000003E-2</v>
      </c>
      <c r="AF34" s="57">
        <f>AB34+IF($Z34="NOTSYD",regcalc!U$112*-0.5,regcalc!U$112*0.5)+output!E$4</f>
        <v>0.40265732484076439</v>
      </c>
      <c r="AG34" s="57">
        <f>AC34+IF($Z34="NOTSYD",regcalc!T$112*-0.5,regcalc!T$112*0.5)+output!E$5</f>
        <v>0.45333149971048059</v>
      </c>
      <c r="AH34" s="57">
        <f>AD34+IF($Z34="NOTSYD",regcalc!V$112*-0.5,regcalc!V$112*0.5)+output!E$6</f>
        <v>5.4650492182976254E-2</v>
      </c>
      <c r="AI34" s="57">
        <f t="shared" si="14"/>
        <v>8.9360683265778729E-2</v>
      </c>
      <c r="AK34" s="57">
        <f t="shared" si="15"/>
        <v>0.40265732484076439</v>
      </c>
      <c r="AL34" s="57">
        <f t="shared" si="2"/>
        <v>0.45333149971048059</v>
      </c>
      <c r="AM34" s="57">
        <f t="shared" si="3"/>
        <v>5.4650492182976254E-2</v>
      </c>
      <c r="AN34" s="57">
        <f t="shared" si="16"/>
        <v>8.9360683265778729E-2</v>
      </c>
      <c r="AP34">
        <f>AK34+($AM34*prefs!B$2)+($AN34*prefs!C$2)</f>
        <v>0.42927316957151135</v>
      </c>
      <c r="AQ34">
        <f>AL34+($AM34*prefs!B$3)+($AN34*prefs!C$3)</f>
        <v>0.50048115961204398</v>
      </c>
      <c r="AR34">
        <f t="shared" si="17"/>
        <v>7.0245670816444727E-2</v>
      </c>
      <c r="AT34">
        <f t="shared" si="18"/>
        <v>0.46170601856564497</v>
      </c>
      <c r="AU34">
        <f t="shared" si="19"/>
        <v>0.53829398143435514</v>
      </c>
      <c r="AV34" s="56">
        <f t="shared" si="20"/>
        <v>0.10019264200915501</v>
      </c>
      <c r="AX34">
        <f t="shared" si="21"/>
        <v>0.43241003368847719</v>
      </c>
      <c r="AY34">
        <f t="shared" si="22"/>
        <v>0.48808139634626518</v>
      </c>
      <c r="AZ34">
        <f t="shared" si="23"/>
        <v>7.9508569965257569E-2</v>
      </c>
      <c r="BB34">
        <f t="shared" si="24"/>
        <v>0.4697599777459705</v>
      </c>
      <c r="BC34">
        <f t="shared" si="25"/>
        <v>0.53024002225402944</v>
      </c>
      <c r="BD34" s="74">
        <f t="shared" si="26"/>
        <v>0.15597220993968974</v>
      </c>
    </row>
    <row r="35" spans="1:56" x14ac:dyDescent="0.25">
      <c r="A35" t="s">
        <v>62</v>
      </c>
      <c r="B35" t="s">
        <v>3</v>
      </c>
      <c r="C35">
        <v>0.78400000000000003</v>
      </c>
      <c r="E35">
        <f>C35+output!$E$10</f>
        <v>0.7007438907926522</v>
      </c>
      <c r="G35" t="s">
        <v>136</v>
      </c>
      <c r="H35" s="52">
        <f t="shared" si="4"/>
        <v>1</v>
      </c>
      <c r="I35" s="52">
        <f t="shared" si="5"/>
        <v>0</v>
      </c>
      <c r="J35" s="52">
        <f t="shared" si="6"/>
        <v>0</v>
      </c>
      <c r="K35" s="52">
        <f t="shared" si="7"/>
        <v>0</v>
      </c>
      <c r="L35" s="53">
        <f t="shared" si="8"/>
        <v>-0.01</v>
      </c>
      <c r="M35" s="55">
        <f>IF(Z35="NOTSYD",E35+L35-L$97+regcalc!P$114,E35+L35-L$97+regcalc!K$114)</f>
        <v>0.72109655756054902</v>
      </c>
      <c r="N35" s="56">
        <f t="shared" si="9"/>
        <v>0.99999999999992817</v>
      </c>
      <c r="P35" t="str">
        <f t="shared" si="10"/>
        <v/>
      </c>
      <c r="Q35" t="str">
        <f t="shared" si="11"/>
        <v/>
      </c>
      <c r="R35" s="57">
        <f t="shared" si="12"/>
        <v>0.69158066567220411</v>
      </c>
      <c r="S35" s="56">
        <f t="shared" si="13"/>
        <v>0.99999999992529509</v>
      </c>
      <c r="AB35">
        <v>0.66500000000000004</v>
      </c>
      <c r="AC35">
        <v>0.154</v>
      </c>
      <c r="AD35">
        <v>0.10299999999999999</v>
      </c>
      <c r="AF35" s="57">
        <f>AB35+IF($Z35="NOTSYD",regcalc!U$112*-0.5,regcalc!U$112*0.5)+output!E$4</f>
        <v>0.64265732484076432</v>
      </c>
      <c r="AG35" s="57">
        <f>AC35+IF($Z35="NOTSYD",regcalc!T$112*-0.5,regcalc!T$112*0.5)+output!E$5</f>
        <v>0.23833149971048062</v>
      </c>
      <c r="AH35" s="57">
        <f>AD35+IF($Z35="NOTSYD",regcalc!V$112*-0.5,regcalc!V$112*0.5)+output!E$6</f>
        <v>9.9650492182976239E-2</v>
      </c>
      <c r="AI35" s="57">
        <f t="shared" si="14"/>
        <v>1.9360683265778778E-2</v>
      </c>
      <c r="AK35" s="57">
        <f t="shared" si="15"/>
        <v>0.64265732484076432</v>
      </c>
      <c r="AL35" s="57">
        <f t="shared" si="2"/>
        <v>0.23833149971048062</v>
      </c>
      <c r="AM35" s="57">
        <f t="shared" si="3"/>
        <v>9.9650492182976239E-2</v>
      </c>
      <c r="AN35" s="57">
        <f t="shared" si="16"/>
        <v>1.9360683265778778E-2</v>
      </c>
      <c r="AP35">
        <f>AK35+($AM35*prefs!B$2)+($AN35*prefs!C$2)</f>
        <v>0.6616831695715113</v>
      </c>
      <c r="AQ35">
        <f>AL35+($AM35*prefs!B$3)+($AN35*prefs!C$3)</f>
        <v>0.29508615961204399</v>
      </c>
      <c r="AR35">
        <f t="shared" si="17"/>
        <v>4.3230670816444716E-2</v>
      </c>
      <c r="AT35">
        <f t="shared" si="18"/>
        <v>0.69158066567220411</v>
      </c>
      <c r="AU35">
        <f t="shared" si="19"/>
        <v>0.30841933432779595</v>
      </c>
      <c r="AV35" s="56">
        <f t="shared" si="20"/>
        <v>0.99999999992529509</v>
      </c>
      <c r="AX35">
        <f t="shared" si="21"/>
        <v>0.6672450336884771</v>
      </c>
      <c r="AY35">
        <f t="shared" si="22"/>
        <v>0.26704889634626522</v>
      </c>
      <c r="AZ35">
        <f t="shared" si="23"/>
        <v>6.570606996525763E-2</v>
      </c>
      <c r="BB35">
        <f t="shared" si="24"/>
        <v>0.71417036142326762</v>
      </c>
      <c r="BC35">
        <f t="shared" si="25"/>
        <v>0.28582963857673227</v>
      </c>
      <c r="BD35" s="74">
        <f t="shared" si="26"/>
        <v>0.99999999999960043</v>
      </c>
    </row>
    <row r="36" spans="1:56" x14ac:dyDescent="0.25">
      <c r="A36" t="s">
        <v>63</v>
      </c>
      <c r="B36" t="s">
        <v>3</v>
      </c>
      <c r="C36">
        <v>0.69</v>
      </c>
      <c r="E36">
        <f>C36+output!$E$10</f>
        <v>0.60674389079265212</v>
      </c>
      <c r="G36" t="s">
        <v>135</v>
      </c>
      <c r="H36" s="52">
        <f t="shared" si="4"/>
        <v>0</v>
      </c>
      <c r="I36" s="52">
        <f t="shared" si="5"/>
        <v>1</v>
      </c>
      <c r="J36" s="52">
        <f t="shared" si="6"/>
        <v>1</v>
      </c>
      <c r="K36" s="52">
        <f t="shared" si="7"/>
        <v>1</v>
      </c>
      <c r="L36" s="53">
        <f t="shared" si="8"/>
        <v>2.1999999999999999E-2</v>
      </c>
      <c r="M36" s="55">
        <f>IF(Z36="NOTSYD",E36+L36-L$97+regcalc!P$114,E36+L36-L$97+regcalc!K$114)</f>
        <v>0.65909655756054897</v>
      </c>
      <c r="N36" s="56">
        <f t="shared" si="9"/>
        <v>0.99999994805635983</v>
      </c>
      <c r="P36" t="str">
        <f t="shared" si="10"/>
        <v/>
      </c>
      <c r="Q36" t="str">
        <f t="shared" si="11"/>
        <v/>
      </c>
      <c r="R36" s="57">
        <f t="shared" si="12"/>
        <v>0.60113346894470954</v>
      </c>
      <c r="S36" s="56">
        <f t="shared" si="13"/>
        <v>0.99963973984358667</v>
      </c>
      <c r="AB36">
        <v>0.54600000000000004</v>
      </c>
      <c r="AC36">
        <v>0.21199999999999999</v>
      </c>
      <c r="AD36">
        <v>0.111</v>
      </c>
      <c r="AF36" s="57">
        <f>AB36+IF($Z36="NOTSYD",regcalc!U$112*-0.5,regcalc!U$112*0.5)+output!E$4</f>
        <v>0.52365732484076433</v>
      </c>
      <c r="AG36" s="57">
        <f>AC36+IF($Z36="NOTSYD",regcalc!T$112*-0.5,regcalc!T$112*0.5)+output!E$5</f>
        <v>0.29633149971048062</v>
      </c>
      <c r="AH36" s="57">
        <f>AD36+IF($Z36="NOTSYD",regcalc!V$112*-0.5,regcalc!V$112*0.5)+output!E$6</f>
        <v>0.10765049218297625</v>
      </c>
      <c r="AI36" s="57">
        <f t="shared" si="14"/>
        <v>7.2360683265778714E-2</v>
      </c>
      <c r="AK36" s="57">
        <f t="shared" si="15"/>
        <v>0.52365732484076433</v>
      </c>
      <c r="AL36" s="57">
        <f t="shared" si="2"/>
        <v>0.29633149971048062</v>
      </c>
      <c r="AM36" s="57">
        <f t="shared" si="3"/>
        <v>0.10765049218297625</v>
      </c>
      <c r="AN36" s="57">
        <f t="shared" si="16"/>
        <v>7.2360683265778714E-2</v>
      </c>
      <c r="AP36">
        <f>AK36+($AM36*prefs!B$2)+($AN36*prefs!C$2)</f>
        <v>0.55478266957151134</v>
      </c>
      <c r="AQ36">
        <f>AL36+($AM36*prefs!B$3)+($AN36*prefs!C$3)</f>
        <v>0.36811165961204401</v>
      </c>
      <c r="AR36">
        <f t="shared" si="17"/>
        <v>7.7105670816444594E-2</v>
      </c>
      <c r="AT36">
        <f t="shared" si="18"/>
        <v>0.60113346894470954</v>
      </c>
      <c r="AU36">
        <f t="shared" si="19"/>
        <v>0.39886653105529041</v>
      </c>
      <c r="AV36" s="56">
        <f t="shared" si="20"/>
        <v>0.99963973984358667</v>
      </c>
      <c r="AX36">
        <f t="shared" si="21"/>
        <v>0.56084763368847712</v>
      </c>
      <c r="AY36">
        <f t="shared" si="22"/>
        <v>0.33976819634626521</v>
      </c>
      <c r="AZ36">
        <f t="shared" si="23"/>
        <v>9.9384169965257674E-2</v>
      </c>
      <c r="BB36">
        <f t="shared" si="24"/>
        <v>0.62273792552240814</v>
      </c>
      <c r="BC36">
        <f t="shared" si="25"/>
        <v>0.37726207447759191</v>
      </c>
      <c r="BD36" s="74">
        <f t="shared" si="26"/>
        <v>0.99997970086351784</v>
      </c>
    </row>
    <row r="37" spans="1:56" x14ac:dyDescent="0.25">
      <c r="A37" s="50" t="s">
        <v>64</v>
      </c>
      <c r="B37" t="s">
        <v>4</v>
      </c>
      <c r="C37">
        <v>0.44799999999999995</v>
      </c>
      <c r="E37">
        <f>C37+output!$E$10</f>
        <v>0.36474389079265213</v>
      </c>
      <c r="G37" t="s">
        <v>129</v>
      </c>
      <c r="H37" s="52">
        <f t="shared" si="4"/>
        <v>0</v>
      </c>
      <c r="I37" s="52">
        <f t="shared" si="5"/>
        <v>0</v>
      </c>
      <c r="J37" s="52">
        <f t="shared" si="6"/>
        <v>0</v>
      </c>
      <c r="K37" s="52">
        <f t="shared" si="7"/>
        <v>0</v>
      </c>
      <c r="L37" s="53">
        <f t="shared" si="8"/>
        <v>0</v>
      </c>
      <c r="M37" s="55">
        <f>IF(Z37="NOTSYD",E37+L37-L$97+regcalc!P$114,E37+L37-L$97+regcalc!K$114)</f>
        <v>0.3950965575605489</v>
      </c>
      <c r="N37" s="56">
        <f t="shared" si="9"/>
        <v>2.2599252558863636E-4</v>
      </c>
      <c r="P37" t="str">
        <f t="shared" si="10"/>
        <v/>
      </c>
      <c r="Q37" t="str">
        <f t="shared" si="11"/>
        <v/>
      </c>
      <c r="R37" s="57">
        <f t="shared" si="12"/>
        <v>0.38120120608726021</v>
      </c>
      <c r="S37" s="56">
        <f t="shared" si="13"/>
        <v>3.5585979358265796E-5</v>
      </c>
      <c r="AB37">
        <v>0.34899999999999998</v>
      </c>
      <c r="AC37">
        <v>0.39900000000000002</v>
      </c>
      <c r="AD37">
        <v>0.17599999999999999</v>
      </c>
      <c r="AF37" s="57">
        <f>AB37+IF($Z37="NOTSYD",regcalc!U$112*-0.5,regcalc!U$112*0.5)+output!E$4</f>
        <v>0.32665732484076437</v>
      </c>
      <c r="AG37" s="57">
        <f>AC37+IF($Z37="NOTSYD",regcalc!T$112*-0.5,regcalc!T$112*0.5)+output!E$5</f>
        <v>0.48333149971048062</v>
      </c>
      <c r="AH37" s="57">
        <f>AD37+IF($Z37="NOTSYD",regcalc!V$112*-0.5,regcalc!V$112*0.5)+output!E$6</f>
        <v>0.17265049218297623</v>
      </c>
      <c r="AI37" s="57">
        <f t="shared" si="14"/>
        <v>1.7360683265778776E-2</v>
      </c>
      <c r="AK37" s="57">
        <f t="shared" si="15"/>
        <v>0.32665732484076437</v>
      </c>
      <c r="AL37" s="57">
        <f t="shared" si="2"/>
        <v>0.48333149971048062</v>
      </c>
      <c r="AM37" s="57">
        <f t="shared" si="3"/>
        <v>0.17265049218297623</v>
      </c>
      <c r="AN37" s="57">
        <f t="shared" si="16"/>
        <v>1.7360683265778776E-2</v>
      </c>
      <c r="AP37">
        <f>AK37+($AM37*prefs!B$2)+($AN37*prefs!C$2)</f>
        <v>0.35629516957151131</v>
      </c>
      <c r="AQ37">
        <f>AL37+($AM37*prefs!B$3)+($AN37*prefs!C$3)</f>
        <v>0.57836915961204405</v>
      </c>
      <c r="AR37">
        <f t="shared" si="17"/>
        <v>6.5335670816444646E-2</v>
      </c>
      <c r="AT37">
        <f t="shared" si="18"/>
        <v>0.38120120608726021</v>
      </c>
      <c r="AU37">
        <f t="shared" si="19"/>
        <v>0.61879879391273973</v>
      </c>
      <c r="AV37" s="56">
        <f t="shared" si="20"/>
        <v>3.5585979358265796E-5</v>
      </c>
      <c r="AX37">
        <f t="shared" si="21"/>
        <v>0.36591363368847718</v>
      </c>
      <c r="AY37">
        <f t="shared" si="22"/>
        <v>0.52918119634626515</v>
      </c>
      <c r="AZ37">
        <f t="shared" si="23"/>
        <v>0.10490516996525767</v>
      </c>
      <c r="BB37">
        <f t="shared" si="24"/>
        <v>0.40879873440255998</v>
      </c>
      <c r="BC37">
        <f t="shared" si="25"/>
        <v>0.59120126559744002</v>
      </c>
      <c r="BD37" s="74">
        <f t="shared" si="26"/>
        <v>1.1459549159540394E-3</v>
      </c>
    </row>
    <row r="38" spans="1:56" x14ac:dyDescent="0.25">
      <c r="A38" t="s">
        <v>65</v>
      </c>
      <c r="B38" t="s">
        <v>3</v>
      </c>
      <c r="C38">
        <v>0.60699999999999998</v>
      </c>
      <c r="E38">
        <f>C38+output!$E$10</f>
        <v>0.52374389079265216</v>
      </c>
      <c r="G38" t="s">
        <v>135</v>
      </c>
      <c r="H38" s="52">
        <f t="shared" si="4"/>
        <v>0</v>
      </c>
      <c r="I38" s="52">
        <f t="shared" si="5"/>
        <v>1</v>
      </c>
      <c r="J38" s="52">
        <f t="shared" si="6"/>
        <v>1</v>
      </c>
      <c r="K38" s="52">
        <f t="shared" si="7"/>
        <v>1</v>
      </c>
      <c r="L38" s="53">
        <f t="shared" si="8"/>
        <v>2.1999999999999999E-2</v>
      </c>
      <c r="M38" s="55">
        <f>IF(Z38="NOTSYD",E38+L38-L$97+regcalc!P$114,E38+L38-L$97+regcalc!K$114)</f>
        <v>0.57609655756054901</v>
      </c>
      <c r="N38" s="56">
        <f t="shared" si="9"/>
        <v>0.99452793880510615</v>
      </c>
      <c r="P38" t="str">
        <f t="shared" si="10"/>
        <v/>
      </c>
      <c r="Q38" t="str">
        <f t="shared" si="11"/>
        <v/>
      </c>
      <c r="R38" s="57">
        <f t="shared" si="12"/>
        <v>0.5219662793147678</v>
      </c>
      <c r="S38" s="56">
        <f t="shared" si="13"/>
        <v>0.76867713585114505</v>
      </c>
      <c r="AB38">
        <v>0.47299999999999998</v>
      </c>
      <c r="AC38">
        <v>0.30499999999999999</v>
      </c>
      <c r="AD38">
        <v>5.8999999999999997E-2</v>
      </c>
      <c r="AF38" s="57">
        <f>AB38+IF($Z38="NOTSYD",regcalc!U$112*-0.5,regcalc!U$112*0.5)+output!E$4</f>
        <v>0.45065732484076432</v>
      </c>
      <c r="AG38" s="57">
        <f>AC38+IF($Z38="NOTSYD",regcalc!T$112*-0.5,regcalc!T$112*0.5)+output!E$5</f>
        <v>0.38933149971048059</v>
      </c>
      <c r="AH38" s="57">
        <f>AD38+IF($Z38="NOTSYD",regcalc!V$112*-0.5,regcalc!V$112*0.5)+output!E$6</f>
        <v>5.5650492182976248E-2</v>
      </c>
      <c r="AI38" s="57">
        <f t="shared" si="14"/>
        <v>0.10436068326577885</v>
      </c>
      <c r="AK38" s="57">
        <f t="shared" si="15"/>
        <v>0.45065732484076432</v>
      </c>
      <c r="AL38" s="57">
        <f t="shared" si="2"/>
        <v>0.38933149971048059</v>
      </c>
      <c r="AM38" s="57">
        <f t="shared" si="3"/>
        <v>5.5650492182976248E-2</v>
      </c>
      <c r="AN38" s="57">
        <f t="shared" si="16"/>
        <v>0.10436068326577885</v>
      </c>
      <c r="AP38">
        <f>AK38+($AM38*prefs!B$2)+($AN38*prefs!C$2)</f>
        <v>0.48050666957151128</v>
      </c>
      <c r="AQ38">
        <f>AL38+($AM38*prefs!B$3)+($AN38*prefs!C$3)</f>
        <v>0.44006365961204397</v>
      </c>
      <c r="AR38">
        <f t="shared" si="17"/>
        <v>7.9429670816444808E-2</v>
      </c>
      <c r="AT38">
        <f t="shared" si="18"/>
        <v>0.5219662793147678</v>
      </c>
      <c r="AU38">
        <f t="shared" si="19"/>
        <v>0.47803372068523231</v>
      </c>
      <c r="AV38" s="56">
        <f t="shared" si="20"/>
        <v>0.76867713585114505</v>
      </c>
      <c r="AX38">
        <f t="shared" si="21"/>
        <v>0.48371563368847714</v>
      </c>
      <c r="AY38">
        <f t="shared" si="22"/>
        <v>0.42794219634626518</v>
      </c>
      <c r="AZ38">
        <f t="shared" si="23"/>
        <v>8.8342169965257678E-2</v>
      </c>
      <c r="BB38">
        <f t="shared" si="24"/>
        <v>0.53058901898538324</v>
      </c>
      <c r="BC38">
        <f t="shared" si="25"/>
        <v>0.46941098101461681</v>
      </c>
      <c r="BD38" s="74">
        <f t="shared" si="26"/>
        <v>0.84680352952457238</v>
      </c>
    </row>
    <row r="39" spans="1:56" x14ac:dyDescent="0.25">
      <c r="A39" t="s">
        <v>66</v>
      </c>
      <c r="B39" t="s">
        <v>3</v>
      </c>
      <c r="C39">
        <v>0.76500000000000001</v>
      </c>
      <c r="E39">
        <f>C39+output!$E$10</f>
        <v>0.68174389079265219</v>
      </c>
      <c r="G39" t="s">
        <v>136</v>
      </c>
      <c r="H39" s="52">
        <f t="shared" si="4"/>
        <v>1</v>
      </c>
      <c r="I39" s="52">
        <f t="shared" si="5"/>
        <v>0</v>
      </c>
      <c r="J39" s="52">
        <f t="shared" si="6"/>
        <v>0</v>
      </c>
      <c r="K39" s="52">
        <f t="shared" si="7"/>
        <v>0</v>
      </c>
      <c r="L39" s="53">
        <f t="shared" si="8"/>
        <v>-0.01</v>
      </c>
      <c r="M39" s="55">
        <f>IF(Z39="NOTSYD",E39+L39-L$97+regcalc!P$114,E39+L39-L$97+regcalc!K$114)</f>
        <v>0.70209655756054901</v>
      </c>
      <c r="N39" s="56">
        <f t="shared" si="9"/>
        <v>0.99999999999298528</v>
      </c>
      <c r="P39" t="str">
        <f t="shared" si="10"/>
        <v/>
      </c>
      <c r="Q39" t="str">
        <f t="shared" si="11"/>
        <v/>
      </c>
      <c r="R39" s="57">
        <f t="shared" si="12"/>
        <v>0.64305880674848959</v>
      </c>
      <c r="S39" s="56">
        <f t="shared" si="13"/>
        <v>0.99999913877356517</v>
      </c>
      <c r="AB39">
        <v>0.503</v>
      </c>
      <c r="AC39">
        <v>0.11</v>
      </c>
      <c r="AD39">
        <v>0.125</v>
      </c>
      <c r="AF39" s="57">
        <f>AB39+IF($Z39="NOTSYD",regcalc!U$112*-0.5,regcalc!U$112*0.5)+output!E$4</f>
        <v>0.48065732484076434</v>
      </c>
      <c r="AG39" s="57">
        <f>AC39+IF($Z39="NOTSYD",regcalc!T$112*-0.5,regcalc!T$112*0.5)+output!E$5</f>
        <v>0.19433149971048064</v>
      </c>
      <c r="AH39" s="57">
        <f>AD39+IF($Z39="NOTSYD",regcalc!V$112*-0.5,regcalc!V$112*0.5)+output!E$6</f>
        <v>0.12165049218297624</v>
      </c>
      <c r="AI39" s="57">
        <f t="shared" si="14"/>
        <v>0.20336068326577883</v>
      </c>
      <c r="AK39" s="57">
        <f t="shared" si="15"/>
        <v>0.48065732484076434</v>
      </c>
      <c r="AL39" s="57">
        <f t="shared" si="2"/>
        <v>0.19433149971048064</v>
      </c>
      <c r="AM39" s="57">
        <f t="shared" si="3"/>
        <v>0.12165049218297624</v>
      </c>
      <c r="AN39" s="57">
        <f t="shared" si="16"/>
        <v>0.20336068326577883</v>
      </c>
      <c r="AP39">
        <f>AK39+($AM39*prefs!B$2)+($AN39*prefs!C$2)</f>
        <v>0.54081716957151127</v>
      </c>
      <c r="AQ39">
        <f>AL39+($AM39*prefs!B$3)+($AN39*prefs!C$3)</f>
        <v>0.30019015961204404</v>
      </c>
      <c r="AR39">
        <f t="shared" si="17"/>
        <v>0.15899267081644464</v>
      </c>
      <c r="AT39">
        <f t="shared" si="18"/>
        <v>0.64305880674848959</v>
      </c>
      <c r="AU39">
        <f t="shared" si="19"/>
        <v>0.35694119325151036</v>
      </c>
      <c r="AV39" s="56">
        <f t="shared" si="20"/>
        <v>0.99999913877356517</v>
      </c>
      <c r="AX39">
        <f t="shared" si="21"/>
        <v>0.5478046336884772</v>
      </c>
      <c r="AY39">
        <f t="shared" si="22"/>
        <v>0.2727566963462652</v>
      </c>
      <c r="AZ39">
        <f t="shared" si="23"/>
        <v>0.17943866996525759</v>
      </c>
      <c r="BB39">
        <f t="shared" si="24"/>
        <v>0.6675974282937307</v>
      </c>
      <c r="BC39">
        <f t="shared" si="25"/>
        <v>0.33240257170626936</v>
      </c>
      <c r="BD39" s="74">
        <f t="shared" si="26"/>
        <v>0.99999998952922931</v>
      </c>
    </row>
    <row r="40" spans="1:56" x14ac:dyDescent="0.25">
      <c r="A40" s="50" t="s">
        <v>67</v>
      </c>
      <c r="B40" t="s">
        <v>4</v>
      </c>
      <c r="C40">
        <v>0.47100000000000003</v>
      </c>
      <c r="E40">
        <f>C40+output!$E$10</f>
        <v>0.3877438907926522</v>
      </c>
      <c r="G40" t="s">
        <v>130</v>
      </c>
      <c r="H40" s="52">
        <f t="shared" si="4"/>
        <v>0</v>
      </c>
      <c r="I40" s="52">
        <f t="shared" si="5"/>
        <v>0</v>
      </c>
      <c r="J40" s="52">
        <f t="shared" si="6"/>
        <v>0</v>
      </c>
      <c r="K40" s="52">
        <f t="shared" si="7"/>
        <v>0</v>
      </c>
      <c r="L40" s="53">
        <f t="shared" si="8"/>
        <v>0</v>
      </c>
      <c r="M40" s="55">
        <f>IF(Z40="NOTSYD",E40+L40-L$97+regcalc!P$114,E40+L40-L$97+regcalc!K$114)</f>
        <v>0.48840539853206555</v>
      </c>
      <c r="N40" s="56">
        <f t="shared" si="9"/>
        <v>0.34912110776043215</v>
      </c>
      <c r="P40" t="str">
        <f t="shared" si="10"/>
        <v/>
      </c>
      <c r="Q40" t="str">
        <f t="shared" si="11"/>
        <v>X</v>
      </c>
      <c r="R40" s="57">
        <f t="shared" si="12"/>
        <v>0.35999259799702138</v>
      </c>
      <c r="S40" s="56">
        <f t="shared" si="13"/>
        <v>1.4239432957197096E-6</v>
      </c>
      <c r="Z40" t="s">
        <v>138</v>
      </c>
      <c r="AB40">
        <v>0.35299999999999998</v>
      </c>
      <c r="AC40">
        <v>0.36</v>
      </c>
      <c r="AD40">
        <v>0.157</v>
      </c>
      <c r="AF40" s="57">
        <f>AB40+IF($Z40="NOTSYD",regcalc!U$112*-0.5,regcalc!U$112*0.5)+output!E$4</f>
        <v>0.26454267515923569</v>
      </c>
      <c r="AG40" s="57">
        <f>AC40+IF($Z40="NOTSYD",regcalc!T$112*-0.5,regcalc!T$112*0.5)+output!E$5</f>
        <v>0.44866850028951943</v>
      </c>
      <c r="AH40" s="57">
        <f>AD40+IF($Z40="NOTSYD",regcalc!V$112*-0.5,regcalc!V$112*0.5)+output!E$6</f>
        <v>0.16074950781702374</v>
      </c>
      <c r="AI40" s="57">
        <f t="shared" si="14"/>
        <v>0.12603931673422109</v>
      </c>
      <c r="AK40" s="57">
        <f t="shared" si="15"/>
        <v>0.26454267515923569</v>
      </c>
      <c r="AL40" s="57">
        <f t="shared" si="2"/>
        <v>0.44866850028951943</v>
      </c>
      <c r="AM40" s="57">
        <f t="shared" si="3"/>
        <v>0.16074950781702374</v>
      </c>
      <c r="AN40" s="57">
        <f t="shared" si="16"/>
        <v>0.12603931673422109</v>
      </c>
      <c r="AP40">
        <f>AK40+($AM40*prefs!B$2)+($AN40*prefs!C$2)</f>
        <v>0.31471693042848869</v>
      </c>
      <c r="AQ40">
        <f>AL40+($AM40*prefs!B$3)+($AN40*prefs!C$3)</f>
        <v>0.55951474038795601</v>
      </c>
      <c r="AR40">
        <f t="shared" si="17"/>
        <v>0.12576832918355529</v>
      </c>
      <c r="AT40">
        <f t="shared" si="18"/>
        <v>0.35999259799702138</v>
      </c>
      <c r="AU40">
        <f t="shared" si="19"/>
        <v>0.64000740200297868</v>
      </c>
      <c r="AV40" s="56">
        <f t="shared" si="20"/>
        <v>1.4239432957197096E-6</v>
      </c>
      <c r="AX40">
        <f t="shared" si="21"/>
        <v>0.32379324631152284</v>
      </c>
      <c r="AY40">
        <f t="shared" si="22"/>
        <v>0.51787064365373481</v>
      </c>
      <c r="AZ40">
        <f t="shared" si="23"/>
        <v>0.15833611003474235</v>
      </c>
      <c r="BB40">
        <f t="shared" si="24"/>
        <v>0.38470611626796586</v>
      </c>
      <c r="BC40">
        <f t="shared" si="25"/>
        <v>0.61529388373203409</v>
      </c>
      <c r="BD40" s="74">
        <f t="shared" si="26"/>
        <v>5.7832141543090465E-5</v>
      </c>
    </row>
    <row r="41" spans="1:56" x14ac:dyDescent="0.25">
      <c r="A41" t="s">
        <v>68</v>
      </c>
      <c r="B41" t="s">
        <v>3</v>
      </c>
      <c r="C41">
        <v>0.58599999999999997</v>
      </c>
      <c r="E41">
        <f>C41+output!$E$10</f>
        <v>0.50274389079265214</v>
      </c>
      <c r="G41" t="s">
        <v>135</v>
      </c>
      <c r="H41" s="52">
        <f t="shared" si="4"/>
        <v>0</v>
      </c>
      <c r="I41" s="52">
        <f t="shared" si="5"/>
        <v>1</v>
      </c>
      <c r="J41" s="52">
        <f t="shared" si="6"/>
        <v>1</v>
      </c>
      <c r="K41" s="52">
        <f t="shared" si="7"/>
        <v>0</v>
      </c>
      <c r="L41" s="53">
        <f t="shared" si="8"/>
        <v>1.3999999999999999E-2</v>
      </c>
      <c r="M41" s="55">
        <f>IF(Z41="NOTSYD",E41+L41-L$97+regcalc!P$114,E41+L41-L$97+regcalc!K$114)</f>
        <v>0.61740539853206555</v>
      </c>
      <c r="N41" s="56">
        <f t="shared" si="9"/>
        <v>0.999956768591309</v>
      </c>
      <c r="P41" t="str">
        <f t="shared" si="10"/>
        <v/>
      </c>
      <c r="Q41" t="str">
        <f t="shared" si="11"/>
        <v/>
      </c>
      <c r="R41" s="57">
        <f t="shared" si="12"/>
        <v>0.4690968766622724</v>
      </c>
      <c r="S41" s="56">
        <f t="shared" si="13"/>
        <v>0.15072640665960724</v>
      </c>
      <c r="Z41" t="s">
        <v>138</v>
      </c>
      <c r="AB41">
        <v>0.436</v>
      </c>
      <c r="AC41">
        <v>0.27700000000000002</v>
      </c>
      <c r="AD41">
        <v>8.8999999999999996E-2</v>
      </c>
      <c r="AF41" s="57">
        <f>AB41+IF($Z41="NOTSYD",regcalc!U$112*-0.5,regcalc!U$112*0.5)+output!E$4</f>
        <v>0.3475426751592357</v>
      </c>
      <c r="AG41" s="57">
        <f>AC41+IF($Z41="NOTSYD",regcalc!T$112*-0.5,regcalc!T$112*0.5)+output!E$5</f>
        <v>0.36566850028951947</v>
      </c>
      <c r="AH41" s="57">
        <f>AD41+IF($Z41="NOTSYD",regcalc!V$112*-0.5,regcalc!V$112*0.5)+output!E$6</f>
        <v>9.2749507817023735E-2</v>
      </c>
      <c r="AI41" s="57">
        <f t="shared" si="14"/>
        <v>0.19403931673422115</v>
      </c>
      <c r="AK41" s="57">
        <f t="shared" si="15"/>
        <v>0.3475426751592357</v>
      </c>
      <c r="AL41" s="57">
        <f t="shared" si="2"/>
        <v>0.36566850028951947</v>
      </c>
      <c r="AM41" s="57">
        <f t="shared" si="3"/>
        <v>9.2749507817023735E-2</v>
      </c>
      <c r="AN41" s="57">
        <f t="shared" si="16"/>
        <v>0.19403931673422115</v>
      </c>
      <c r="AP41">
        <f>AK41+($AM41*prefs!B$2)+($AN41*prefs!C$2)</f>
        <v>0.40142293042848876</v>
      </c>
      <c r="AQ41">
        <f>AL41+($AM41*prefs!B$3)+($AN41*prefs!C$3)</f>
        <v>0.4543127403879561</v>
      </c>
      <c r="AR41">
        <f t="shared" si="17"/>
        <v>0.14426432918355514</v>
      </c>
      <c r="AT41">
        <f t="shared" si="18"/>
        <v>0.4690968766622724</v>
      </c>
      <c r="AU41">
        <f t="shared" si="19"/>
        <v>0.5309031233377276</v>
      </c>
      <c r="AV41" s="56">
        <f t="shared" si="20"/>
        <v>0.15072640665960724</v>
      </c>
      <c r="AX41">
        <f t="shared" si="21"/>
        <v>0.40679324631152292</v>
      </c>
      <c r="AY41">
        <f t="shared" si="22"/>
        <v>0.43487064365373485</v>
      </c>
      <c r="AZ41">
        <f t="shared" si="23"/>
        <v>0.15833611003474224</v>
      </c>
      <c r="BB41">
        <f t="shared" si="24"/>
        <v>0.48332030298735346</v>
      </c>
      <c r="BC41">
        <f t="shared" si="25"/>
        <v>0.51667969701264649</v>
      </c>
      <c r="BD41" s="74">
        <f t="shared" si="26"/>
        <v>0.28851533541469698</v>
      </c>
    </row>
    <row r="42" spans="1:56" x14ac:dyDescent="0.25">
      <c r="A42" s="50" t="s">
        <v>69</v>
      </c>
      <c r="B42" t="s">
        <v>4</v>
      </c>
      <c r="C42">
        <v>0.44600000000000001</v>
      </c>
      <c r="E42">
        <f>C42+output!$E$10</f>
        <v>0.36274389079265218</v>
      </c>
      <c r="G42" t="s">
        <v>127</v>
      </c>
      <c r="H42" s="52">
        <f t="shared" si="4"/>
        <v>1</v>
      </c>
      <c r="I42" s="52">
        <f t="shared" si="5"/>
        <v>0</v>
      </c>
      <c r="J42" s="52">
        <f t="shared" si="6"/>
        <v>0</v>
      </c>
      <c r="K42" s="52">
        <f t="shared" si="7"/>
        <v>0</v>
      </c>
      <c r="L42" s="53">
        <f t="shared" si="8"/>
        <v>0.01</v>
      </c>
      <c r="M42" s="55">
        <f>IF(Z42="NOTSYD",E42+L42-L$97+regcalc!P$114,E42+L42-L$97+regcalc!K$114)</f>
        <v>0.40309655756054896</v>
      </c>
      <c r="N42" s="56">
        <f t="shared" si="9"/>
        <v>5.9721276100832554E-4</v>
      </c>
      <c r="P42" t="str">
        <f t="shared" si="10"/>
        <v/>
      </c>
      <c r="Q42" t="str">
        <f t="shared" si="11"/>
        <v/>
      </c>
      <c r="R42" s="57">
        <f t="shared" si="12"/>
        <v>0.38110599410882628</v>
      </c>
      <c r="S42" s="56">
        <f t="shared" si="13"/>
        <v>3.5113230186678557E-5</v>
      </c>
      <c r="AB42">
        <v>0.38100000000000001</v>
      </c>
      <c r="AC42">
        <v>0.47399999999999998</v>
      </c>
      <c r="AD42">
        <v>8.7999999999999995E-2</v>
      </c>
      <c r="AF42" s="57">
        <f>AB42+IF($Z42="NOTSYD",regcalc!U$112*-0.5,regcalc!U$112*0.5)+output!E$4</f>
        <v>0.3586573248407644</v>
      </c>
      <c r="AG42" s="57">
        <f>AC42+IF($Z42="NOTSYD",regcalc!T$112*-0.5,regcalc!T$112*0.5)+output!E$5</f>
        <v>0.55833149971048057</v>
      </c>
      <c r="AH42" s="57">
        <f>AD42+IF($Z42="NOTSYD",regcalc!V$112*-0.5,regcalc!V$112*0.5)+output!E$6</f>
        <v>8.4650492182976239E-2</v>
      </c>
      <c r="AI42" s="57">
        <f t="shared" si="14"/>
        <v>-1.6393167342212411E-3</v>
      </c>
      <c r="AK42" s="57">
        <f t="shared" si="15"/>
        <v>0.3580703341499642</v>
      </c>
      <c r="AL42" s="57">
        <f t="shared" si="2"/>
        <v>0.55741771552147479</v>
      </c>
      <c r="AM42" s="57">
        <f t="shared" si="3"/>
        <v>8.4511950328560959E-2</v>
      </c>
      <c r="AN42" s="57">
        <f t="shared" si="16"/>
        <v>0</v>
      </c>
      <c r="AP42">
        <f>AK42+($AM42*prefs!B$2)+($AN42*prefs!C$2)</f>
        <v>0.37083163864957691</v>
      </c>
      <c r="AQ42">
        <f>AL42+($AM42*prefs!B$3)+($AN42*prefs!C$3)</f>
        <v>0.60220904919561213</v>
      </c>
      <c r="AR42">
        <f t="shared" si="17"/>
        <v>2.6959312154810955E-2</v>
      </c>
      <c r="AT42">
        <f t="shared" si="18"/>
        <v>0.38110599410882628</v>
      </c>
      <c r="AU42">
        <f t="shared" si="19"/>
        <v>0.61889400589117372</v>
      </c>
      <c r="AV42" s="56">
        <f t="shared" si="20"/>
        <v>3.5113230186678557E-5</v>
      </c>
      <c r="AX42">
        <f t="shared" si="21"/>
        <v>0.37553050308784491</v>
      </c>
      <c r="AY42">
        <f t="shared" si="22"/>
        <v>0.57781044913575652</v>
      </c>
      <c r="AZ42">
        <f t="shared" si="23"/>
        <v>4.6659047776398621E-2</v>
      </c>
      <c r="BB42">
        <f t="shared" si="24"/>
        <v>0.39390996706052139</v>
      </c>
      <c r="BC42">
        <f t="shared" si="25"/>
        <v>0.60609003293947872</v>
      </c>
      <c r="BD42" s="74">
        <f t="shared" si="26"/>
        <v>1.945381552380665E-4</v>
      </c>
    </row>
    <row r="43" spans="1:56" x14ac:dyDescent="0.25">
      <c r="A43" t="s">
        <v>70</v>
      </c>
      <c r="B43" t="s">
        <v>3</v>
      </c>
      <c r="C43">
        <v>0.86900000000000011</v>
      </c>
      <c r="E43">
        <f>C43+output!$E$10</f>
        <v>0.78574389079265228</v>
      </c>
      <c r="G43" t="s">
        <v>136</v>
      </c>
      <c r="H43" s="52">
        <f t="shared" si="4"/>
        <v>1</v>
      </c>
      <c r="I43" s="52">
        <f t="shared" si="5"/>
        <v>0</v>
      </c>
      <c r="J43" s="52">
        <f t="shared" si="6"/>
        <v>0</v>
      </c>
      <c r="K43" s="52">
        <f t="shared" si="7"/>
        <v>0</v>
      </c>
      <c r="L43" s="53">
        <f t="shared" si="8"/>
        <v>-0.01</v>
      </c>
      <c r="M43" s="55">
        <f>IF(Z43="NOTSYD",E43+L43-L$97+regcalc!P$114,E43+L43-L$97+regcalc!K$114)</f>
        <v>0.8060965575605491</v>
      </c>
      <c r="N43" s="56">
        <f t="shared" si="9"/>
        <v>1</v>
      </c>
      <c r="P43" t="str">
        <f t="shared" si="10"/>
        <v/>
      </c>
      <c r="Q43" t="str">
        <f t="shared" si="11"/>
        <v/>
      </c>
      <c r="R43" s="57">
        <f t="shared" si="12"/>
        <v>0.75636119512617261</v>
      </c>
      <c r="S43" s="56">
        <f t="shared" si="13"/>
        <v>1</v>
      </c>
      <c r="AB43">
        <v>0.72899999999999998</v>
      </c>
      <c r="AC43">
        <v>7.8E-2</v>
      </c>
      <c r="AD43">
        <v>0.13900000000000001</v>
      </c>
      <c r="AF43" s="57">
        <f>AB43+IF($Z43="NOTSYD",regcalc!U$112*-0.5,regcalc!U$112*0.5)+output!E$4</f>
        <v>0.70665732484076438</v>
      </c>
      <c r="AG43" s="57">
        <f>AC43+IF($Z43="NOTSYD",regcalc!T$112*-0.5,regcalc!T$112*0.5)+output!E$5</f>
        <v>0.16233149971048061</v>
      </c>
      <c r="AH43" s="57">
        <f>AD43+IF($Z43="NOTSYD",regcalc!V$112*-0.5,regcalc!V$112*0.5)+output!E$6</f>
        <v>0.13565049218297626</v>
      </c>
      <c r="AI43" s="57">
        <f t="shared" si="14"/>
        <v>-4.6393167342211328E-3</v>
      </c>
      <c r="AK43" s="57">
        <f t="shared" si="15"/>
        <v>0.70339405702127389</v>
      </c>
      <c r="AL43" s="57">
        <f t="shared" si="2"/>
        <v>0.16158187023594822</v>
      </c>
      <c r="AM43" s="57">
        <f t="shared" si="3"/>
        <v>0.135024072742778</v>
      </c>
      <c r="AN43" s="57">
        <f t="shared" si="16"/>
        <v>0</v>
      </c>
      <c r="AP43">
        <f>AK43+($AM43*prefs!B$2)+($AN43*prefs!C$2)</f>
        <v>0.72378269200543333</v>
      </c>
      <c r="AQ43">
        <f>AL43+($AM43*prefs!B$3)+($AN43*prefs!C$3)</f>
        <v>0.23314462878962056</v>
      </c>
      <c r="AR43">
        <f t="shared" si="17"/>
        <v>4.3072679204946063E-2</v>
      </c>
      <c r="AT43">
        <f t="shared" si="18"/>
        <v>0.75636119512617261</v>
      </c>
      <c r="AU43">
        <f t="shared" si="19"/>
        <v>0.24363880487382736</v>
      </c>
      <c r="AV43" s="56">
        <f t="shared" si="20"/>
        <v>1</v>
      </c>
      <c r="AX43">
        <f t="shared" si="21"/>
        <v>0.73129003044993179</v>
      </c>
      <c r="AY43">
        <f t="shared" si="22"/>
        <v>0.19416317898878055</v>
      </c>
      <c r="AZ43">
        <f t="shared" si="23"/>
        <v>7.4546790561287657E-2</v>
      </c>
      <c r="BB43">
        <f t="shared" si="24"/>
        <v>0.79019665499183844</v>
      </c>
      <c r="BC43">
        <f t="shared" si="25"/>
        <v>0.20980334500816156</v>
      </c>
      <c r="BD43" s="74">
        <f t="shared" si="26"/>
        <v>1</v>
      </c>
    </row>
    <row r="44" spans="1:56" x14ac:dyDescent="0.25">
      <c r="A44" t="s">
        <v>71</v>
      </c>
      <c r="B44" t="s">
        <v>137</v>
      </c>
      <c r="C44">
        <v>0.57399999999999995</v>
      </c>
      <c r="E44">
        <f>C44+output!$E$10</f>
        <v>0.49074389079265213</v>
      </c>
      <c r="G44" t="s">
        <v>131</v>
      </c>
      <c r="H44" s="52">
        <f t="shared" si="4"/>
        <v>0</v>
      </c>
      <c r="I44" s="52">
        <f t="shared" si="5"/>
        <v>0</v>
      </c>
      <c r="J44" s="52">
        <f t="shared" si="6"/>
        <v>0</v>
      </c>
      <c r="K44" s="52">
        <f t="shared" si="7"/>
        <v>0</v>
      </c>
      <c r="L44" s="53">
        <f t="shared" si="8"/>
        <v>0</v>
      </c>
      <c r="M44" s="55">
        <f>IF(Z44="NOTSYD",E44+L44-L$97+regcalc!P$114,E44+L44-L$97+regcalc!K$114)</f>
        <v>0.59140539853206553</v>
      </c>
      <c r="N44" s="56"/>
      <c r="P44" t="str">
        <f t="shared" si="10"/>
        <v/>
      </c>
      <c r="Q44" t="str">
        <f t="shared" si="11"/>
        <v/>
      </c>
      <c r="R44" s="57">
        <f t="shared" si="12"/>
        <v>0.40603100185776647</v>
      </c>
      <c r="S44" s="56"/>
      <c r="Z44" t="s">
        <v>138</v>
      </c>
      <c r="AB44">
        <v>0.27400000000000002</v>
      </c>
      <c r="AC44">
        <v>0.20499999999999999</v>
      </c>
      <c r="AD44">
        <v>6.6000000000000003E-2</v>
      </c>
      <c r="AF44" s="57">
        <f>AB44+IF($Z44="NOTSYD",regcalc!U$112*-0.5,regcalc!U$112*0.5)+output!E$4</f>
        <v>0.18554267515923575</v>
      </c>
      <c r="AG44" s="57">
        <f>AC44+IF($Z44="NOTSYD",regcalc!T$112*-0.5,regcalc!T$112*0.5)+output!E$5</f>
        <v>0.29366850028951941</v>
      </c>
      <c r="AH44" s="57">
        <f>AD44+IF($Z44="NOTSYD",regcalc!V$112*-0.5,regcalc!V$112*0.5)+output!E$6</f>
        <v>6.9749507817023743E-2</v>
      </c>
      <c r="AI44" s="57">
        <f t="shared" si="14"/>
        <v>0.45103931673422115</v>
      </c>
      <c r="AK44" s="57">
        <f t="shared" si="15"/>
        <v>0.18554267515923575</v>
      </c>
      <c r="AL44" s="57">
        <f t="shared" si="2"/>
        <v>0.29366850028951941</v>
      </c>
      <c r="AM44" s="57">
        <f t="shared" si="3"/>
        <v>6.9749507817023743E-2</v>
      </c>
      <c r="AN44" s="57">
        <f t="shared" si="16"/>
        <v>0.45103931673422115</v>
      </c>
      <c r="AP44">
        <f>AK44+($AM44*prefs!B$2)+($AN44*prefs!C$2)</f>
        <v>0.28876343042848879</v>
      </c>
      <c r="AQ44">
        <f>AL44+($AM44*prefs!B$3)+($AN44*prefs!C$3)</f>
        <v>0.42242224038795601</v>
      </c>
      <c r="AR44">
        <f t="shared" si="17"/>
        <v>0.28881432918355521</v>
      </c>
      <c r="AT44">
        <f t="shared" si="18"/>
        <v>0.40603100185776647</v>
      </c>
      <c r="AU44">
        <f t="shared" si="19"/>
        <v>0.59396899814223358</v>
      </c>
      <c r="AV44" s="56">
        <f t="shared" si="20"/>
        <v>8.3873945995527333E-4</v>
      </c>
      <c r="AX44">
        <f t="shared" si="21"/>
        <v>0.29313764631152295</v>
      </c>
      <c r="AY44">
        <f t="shared" si="22"/>
        <v>0.41933484365373475</v>
      </c>
      <c r="AZ44">
        <f t="shared" si="23"/>
        <v>0.28752751003474231</v>
      </c>
      <c r="BB44">
        <f t="shared" si="24"/>
        <v>0.4114371438058152</v>
      </c>
      <c r="BC44">
        <f t="shared" si="25"/>
        <v>0.5885628561941848</v>
      </c>
      <c r="BD44" s="74">
        <f t="shared" si="26"/>
        <v>1.5316190016825271E-3</v>
      </c>
    </row>
    <row r="45" spans="1:56" x14ac:dyDescent="0.25">
      <c r="A45" s="50" t="s">
        <v>72</v>
      </c>
      <c r="B45" t="s">
        <v>4</v>
      </c>
      <c r="C45">
        <v>0.42700000000000005</v>
      </c>
      <c r="E45">
        <f>C45+output!$E$10</f>
        <v>0.34374389079265222</v>
      </c>
      <c r="G45" t="s">
        <v>127</v>
      </c>
      <c r="H45" s="52">
        <f t="shared" si="4"/>
        <v>1</v>
      </c>
      <c r="I45" s="52">
        <f t="shared" si="5"/>
        <v>0</v>
      </c>
      <c r="J45" s="52">
        <f t="shared" si="6"/>
        <v>0</v>
      </c>
      <c r="K45" s="52">
        <f t="shared" si="7"/>
        <v>0</v>
      </c>
      <c r="L45" s="53">
        <f t="shared" si="8"/>
        <v>0.01</v>
      </c>
      <c r="M45" s="55">
        <f>IF(Z45="NOTSYD",E45+L45-L$97+regcalc!P$114,E45+L45-L$97+regcalc!K$114)</f>
        <v>0.384096557560549</v>
      </c>
      <c r="N45" s="56">
        <f t="shared" si="9"/>
        <v>5.3198557118716572E-5</v>
      </c>
      <c r="P45" t="str">
        <f t="shared" si="10"/>
        <v/>
      </c>
      <c r="Q45" t="str">
        <f t="shared" si="11"/>
        <v/>
      </c>
      <c r="R45" s="57">
        <f t="shared" si="12"/>
        <v>0.36574307661907834</v>
      </c>
      <c r="S45" s="56">
        <f t="shared" si="13"/>
        <v>3.5743120252451632E-6</v>
      </c>
      <c r="AB45">
        <v>0.33800000000000002</v>
      </c>
      <c r="AC45">
        <v>0.46200000000000002</v>
      </c>
      <c r="AD45">
        <v>5.6000000000000001E-2</v>
      </c>
      <c r="AF45" s="57">
        <f>AB45+IF($Z45="NOTSYD",regcalc!U$112*-0.5,regcalc!U$112*0.5)+output!E$4</f>
        <v>0.31565732484076442</v>
      </c>
      <c r="AG45" s="57">
        <f>AC45+IF($Z45="NOTSYD",regcalc!T$112*-0.5,regcalc!T$112*0.5)+output!E$5</f>
        <v>0.54633149971048067</v>
      </c>
      <c r="AH45" s="57">
        <f>AD45+IF($Z45="NOTSYD",regcalc!V$112*-0.5,regcalc!V$112*0.5)+output!E$6</f>
        <v>5.2650492182976252E-2</v>
      </c>
      <c r="AI45" s="57">
        <f t="shared" si="14"/>
        <v>8.5360683265778725E-2</v>
      </c>
      <c r="AK45" s="57">
        <f t="shared" si="15"/>
        <v>0.31565732484076442</v>
      </c>
      <c r="AL45" s="57">
        <f t="shared" si="2"/>
        <v>0.54633149971048067</v>
      </c>
      <c r="AM45" s="57">
        <f t="shared" si="3"/>
        <v>5.2650492182976252E-2</v>
      </c>
      <c r="AN45" s="57">
        <f t="shared" si="16"/>
        <v>8.5360683265778725E-2</v>
      </c>
      <c r="AP45">
        <f>AK45+($AM45*prefs!B$2)+($AN45*prefs!C$2)</f>
        <v>0.34114916957151137</v>
      </c>
      <c r="AQ45">
        <f>AL45+($AM45*prefs!B$3)+($AN45*prefs!C$3)</f>
        <v>0.59160715961204413</v>
      </c>
      <c r="AR45">
        <f t="shared" si="17"/>
        <v>6.7243670816444556E-2</v>
      </c>
      <c r="AT45">
        <f t="shared" si="18"/>
        <v>0.36574307661907834</v>
      </c>
      <c r="AU45">
        <f t="shared" si="19"/>
        <v>0.63425692338092177</v>
      </c>
      <c r="AV45" s="56">
        <f t="shared" si="20"/>
        <v>3.5743120252451632E-6</v>
      </c>
      <c r="AX45">
        <f t="shared" si="21"/>
        <v>0.34417043368847722</v>
      </c>
      <c r="AY45">
        <f t="shared" si="22"/>
        <v>0.57963359634626521</v>
      </c>
      <c r="AZ45">
        <f t="shared" si="23"/>
        <v>7.6195969965257571E-2</v>
      </c>
      <c r="BB45">
        <f t="shared" si="24"/>
        <v>0.3725578396486684</v>
      </c>
      <c r="BC45">
        <f t="shared" si="25"/>
        <v>0.6274421603513316</v>
      </c>
      <c r="BD45" s="74">
        <f t="shared" si="26"/>
        <v>1.0159964899503215E-5</v>
      </c>
    </row>
    <row r="46" spans="1:56" x14ac:dyDescent="0.25">
      <c r="A46" t="s">
        <v>73</v>
      </c>
      <c r="B46" t="s">
        <v>3</v>
      </c>
      <c r="C46">
        <v>0.77300000000000002</v>
      </c>
      <c r="E46">
        <f>C46+output!$E$10</f>
        <v>0.68974389079265219</v>
      </c>
      <c r="G46" t="s">
        <v>126</v>
      </c>
      <c r="H46" s="52">
        <f t="shared" si="4"/>
        <v>0</v>
      </c>
      <c r="I46" s="52">
        <f t="shared" si="5"/>
        <v>0</v>
      </c>
      <c r="J46" s="52">
        <f t="shared" si="6"/>
        <v>0</v>
      </c>
      <c r="K46" s="52">
        <f t="shared" si="7"/>
        <v>0</v>
      </c>
      <c r="L46" s="53">
        <f t="shared" si="8"/>
        <v>0</v>
      </c>
      <c r="M46" s="55">
        <f>IF(Z46="NOTSYD",E46+L46-L$97+regcalc!P$114,E46+L46-L$97+regcalc!K$114)</f>
        <v>0.72009655756054902</v>
      </c>
      <c r="N46" s="56">
        <f t="shared" si="9"/>
        <v>0.99999999999990763</v>
      </c>
      <c r="P46" t="str">
        <f t="shared" si="10"/>
        <v/>
      </c>
      <c r="Q46" t="str">
        <f t="shared" si="11"/>
        <v/>
      </c>
      <c r="R46" s="57">
        <f t="shared" si="12"/>
        <v>0.67623798529150614</v>
      </c>
      <c r="S46" s="56">
        <f t="shared" si="13"/>
        <v>0.9999999981032629</v>
      </c>
      <c r="AB46">
        <v>0.65500000000000003</v>
      </c>
      <c r="AC46">
        <v>0.14000000000000001</v>
      </c>
      <c r="AD46">
        <v>0.17499999999999999</v>
      </c>
      <c r="AF46" s="57">
        <f>AB46+IF($Z46="NOTSYD",regcalc!U$112*-0.5,regcalc!U$112*0.5)+output!E$4</f>
        <v>0.63265732484076431</v>
      </c>
      <c r="AG46" s="57">
        <f>AC46+IF($Z46="NOTSYD",regcalc!T$112*-0.5,regcalc!T$112*0.5)+output!E$5</f>
        <v>0.22433149971048064</v>
      </c>
      <c r="AH46" s="57">
        <f>AD46+IF($Z46="NOTSYD",regcalc!V$112*-0.5,regcalc!V$112*0.5)+output!E$6</f>
        <v>0.17165049218297623</v>
      </c>
      <c r="AI46" s="57">
        <f t="shared" si="14"/>
        <v>-2.8639316734221154E-2</v>
      </c>
      <c r="AK46" s="57">
        <f t="shared" si="15"/>
        <v>0.61504291596529526</v>
      </c>
      <c r="AL46" s="57">
        <f t="shared" si="2"/>
        <v>0.21808567498926662</v>
      </c>
      <c r="AM46" s="57">
        <f t="shared" si="3"/>
        <v>0.16687140904543815</v>
      </c>
      <c r="AN46" s="57">
        <f t="shared" si="16"/>
        <v>0</v>
      </c>
      <c r="AP46">
        <f>AK46+($AM46*prefs!B$2)+($AN46*prefs!C$2)</f>
        <v>0.6402404987311564</v>
      </c>
      <c r="AQ46">
        <f>AL46+($AM46*prefs!B$3)+($AN46*prefs!C$3)</f>
        <v>0.30652752178334886</v>
      </c>
      <c r="AR46">
        <f t="shared" si="17"/>
        <v>5.323197948549474E-2</v>
      </c>
      <c r="AT46">
        <f t="shared" si="18"/>
        <v>0.67623798529150614</v>
      </c>
      <c r="AU46">
        <f t="shared" si="19"/>
        <v>0.32376201470849386</v>
      </c>
      <c r="AV46" s="56">
        <f t="shared" si="20"/>
        <v>0.9999999981032629</v>
      </c>
      <c r="AX46">
        <f t="shared" si="21"/>
        <v>0.6495185490740828</v>
      </c>
      <c r="AY46">
        <f t="shared" si="22"/>
        <v>0.25835174599193084</v>
      </c>
      <c r="AZ46">
        <f t="shared" si="23"/>
        <v>9.2129704933986423E-2</v>
      </c>
      <c r="BB46">
        <f t="shared" si="24"/>
        <v>0.71543099559927181</v>
      </c>
      <c r="BC46">
        <f t="shared" si="25"/>
        <v>0.28456900440072819</v>
      </c>
      <c r="BD46" s="74">
        <f t="shared" si="26"/>
        <v>0.99999999999970646</v>
      </c>
    </row>
    <row r="47" spans="1:56" x14ac:dyDescent="0.25">
      <c r="A47" t="s">
        <v>74</v>
      </c>
      <c r="B47" t="s">
        <v>3</v>
      </c>
      <c r="C47">
        <v>0.74299999999999999</v>
      </c>
      <c r="E47">
        <f>C47+output!$E$10</f>
        <v>0.65974389079265217</v>
      </c>
      <c r="G47" t="s">
        <v>126</v>
      </c>
      <c r="H47" s="52">
        <f t="shared" si="4"/>
        <v>0</v>
      </c>
      <c r="I47" s="52">
        <f t="shared" si="5"/>
        <v>0</v>
      </c>
      <c r="J47" s="52">
        <f t="shared" si="6"/>
        <v>0</v>
      </c>
      <c r="K47" s="52">
        <f t="shared" si="7"/>
        <v>0</v>
      </c>
      <c r="L47" s="53">
        <f t="shared" si="8"/>
        <v>0</v>
      </c>
      <c r="M47" s="55">
        <f>IF(Z47="NOTSYD",E47+L47-L$97+regcalc!P$114,E47+L47-L$97+regcalc!K$114)</f>
        <v>0.76040539853206557</v>
      </c>
      <c r="N47" s="56">
        <f t="shared" si="9"/>
        <v>1</v>
      </c>
      <c r="P47" t="str">
        <f t="shared" si="10"/>
        <v/>
      </c>
      <c r="Q47" t="str">
        <f t="shared" si="11"/>
        <v/>
      </c>
      <c r="R47" s="57">
        <f t="shared" si="12"/>
        <v>0.6216473492806619</v>
      </c>
      <c r="S47" s="56">
        <f t="shared" si="13"/>
        <v>0.99997624826481857</v>
      </c>
      <c r="Z47" t="s">
        <v>138</v>
      </c>
      <c r="AB47">
        <v>0.59599999999999997</v>
      </c>
      <c r="AC47">
        <v>0.129</v>
      </c>
      <c r="AD47">
        <v>0.19</v>
      </c>
      <c r="AF47" s="57">
        <f>AB47+IF($Z47="NOTSYD",regcalc!U$112*-0.5,regcalc!U$112*0.5)+output!E$4</f>
        <v>0.50754267515923579</v>
      </c>
      <c r="AG47" s="57">
        <f>AC47+IF($Z47="NOTSYD",regcalc!T$112*-0.5,regcalc!T$112*0.5)+output!E$5</f>
        <v>0.21766850028951942</v>
      </c>
      <c r="AH47" s="57">
        <f>AD47+IF($Z47="NOTSYD",regcalc!V$112*-0.5,regcalc!V$112*0.5)+output!E$6</f>
        <v>0.19374950781702371</v>
      </c>
      <c r="AI47" s="57">
        <f t="shared" si="14"/>
        <v>8.1039316734221045E-2</v>
      </c>
      <c r="AK47" s="57">
        <f t="shared" si="15"/>
        <v>0.50754267515923579</v>
      </c>
      <c r="AL47" s="57">
        <f t="shared" si="2"/>
        <v>0.21766850028951942</v>
      </c>
      <c r="AM47" s="57">
        <f t="shared" si="3"/>
        <v>0.19374950781702371</v>
      </c>
      <c r="AN47" s="57">
        <f t="shared" si="16"/>
        <v>8.1039316734221045E-2</v>
      </c>
      <c r="AP47">
        <f>AK47+($AM47*prefs!B$2)+($AN47*prefs!C$2)</f>
        <v>0.5534524304284888</v>
      </c>
      <c r="AQ47">
        <f>AL47+($AM47*prefs!B$3)+($AN47*prefs!C$3)</f>
        <v>0.33684724038795599</v>
      </c>
      <c r="AR47">
        <f t="shared" si="17"/>
        <v>0.10970032918355521</v>
      </c>
      <c r="AT47">
        <f t="shared" si="18"/>
        <v>0.6216473492806619</v>
      </c>
      <c r="AU47">
        <f t="shared" si="19"/>
        <v>0.37835265071933805</v>
      </c>
      <c r="AV47" s="56">
        <f t="shared" si="20"/>
        <v>0.99997624826481857</v>
      </c>
      <c r="AX47">
        <f t="shared" si="21"/>
        <v>0.56431404631152293</v>
      </c>
      <c r="AY47">
        <f t="shared" si="22"/>
        <v>0.28397504365373477</v>
      </c>
      <c r="AZ47">
        <f t="shared" si="23"/>
        <v>0.15171091003474224</v>
      </c>
      <c r="BB47">
        <f t="shared" si="24"/>
        <v>0.66523789234945219</v>
      </c>
      <c r="BC47">
        <f t="shared" si="25"/>
        <v>0.3347621076505477</v>
      </c>
      <c r="BD47" s="74">
        <f t="shared" si="26"/>
        <v>0.99999998353889796</v>
      </c>
    </row>
    <row r="48" spans="1:56" x14ac:dyDescent="0.25">
      <c r="A48" s="50" t="s">
        <v>75</v>
      </c>
      <c r="B48" t="s">
        <v>4</v>
      </c>
      <c r="C48">
        <v>0.36</v>
      </c>
      <c r="E48">
        <f>C48+output!$E$10</f>
        <v>0.27674389079265216</v>
      </c>
      <c r="G48" t="s">
        <v>129</v>
      </c>
      <c r="H48" s="52">
        <f t="shared" si="4"/>
        <v>0</v>
      </c>
      <c r="I48" s="52">
        <f t="shared" si="5"/>
        <v>0</v>
      </c>
      <c r="J48" s="52">
        <f t="shared" si="6"/>
        <v>0</v>
      </c>
      <c r="K48" s="52">
        <f t="shared" si="7"/>
        <v>0</v>
      </c>
      <c r="L48" s="53">
        <f t="shared" si="8"/>
        <v>0</v>
      </c>
      <c r="M48" s="55">
        <f>IF(Z48="NOTSYD",E48+L48-L$97+regcalc!P$114,E48+L48-L$97+regcalc!K$114)</f>
        <v>0.30709655756054893</v>
      </c>
      <c r="N48" s="56">
        <f t="shared" si="9"/>
        <v>5.5848659030743875E-11</v>
      </c>
      <c r="P48" t="str">
        <f t="shared" si="10"/>
        <v/>
      </c>
      <c r="Q48" t="str">
        <f t="shared" si="11"/>
        <v/>
      </c>
      <c r="R48" s="57">
        <f t="shared" si="12"/>
        <v>0.30764993595557522</v>
      </c>
      <c r="S48" s="56">
        <f t="shared" si="13"/>
        <v>6.3090865864978696E-11</v>
      </c>
      <c r="AB48">
        <v>0.27900000000000003</v>
      </c>
      <c r="AC48">
        <v>0.51</v>
      </c>
      <c r="AD48">
        <v>5.1999999999999998E-2</v>
      </c>
      <c r="AF48" s="57">
        <f>AB48+IF($Z48="NOTSYD",regcalc!U$112*-0.5,regcalc!U$112*0.5)+output!E$4</f>
        <v>0.25665732484076442</v>
      </c>
      <c r="AG48" s="57">
        <f>AC48+IF($Z48="NOTSYD",regcalc!T$112*-0.5,regcalc!T$112*0.5)+output!E$5</f>
        <v>0.5943314997104806</v>
      </c>
      <c r="AH48" s="57">
        <f>AD48+IF($Z48="NOTSYD",regcalc!V$112*-0.5,regcalc!V$112*0.5)+output!E$6</f>
        <v>4.8650492182976249E-2</v>
      </c>
      <c r="AI48" s="57">
        <f t="shared" si="14"/>
        <v>0.10036068326577874</v>
      </c>
      <c r="AK48" s="57">
        <f t="shared" si="15"/>
        <v>0.25665732484076442</v>
      </c>
      <c r="AL48" s="57">
        <f t="shared" si="2"/>
        <v>0.5943314997104806</v>
      </c>
      <c r="AM48" s="57">
        <f t="shared" si="3"/>
        <v>4.8650492182976249E-2</v>
      </c>
      <c r="AN48" s="57">
        <f t="shared" si="16"/>
        <v>0.10036068326577874</v>
      </c>
      <c r="AP48">
        <f>AK48+($AM48*prefs!B$2)+($AN48*prefs!C$2)</f>
        <v>0.28462766957151137</v>
      </c>
      <c r="AQ48">
        <f>AL48+($AM48*prefs!B$3)+($AN48*prefs!C$3)</f>
        <v>0.64053965961204407</v>
      </c>
      <c r="AR48">
        <f t="shared" si="17"/>
        <v>7.4832670816444624E-2</v>
      </c>
      <c r="AT48">
        <f t="shared" si="18"/>
        <v>0.30764993595557522</v>
      </c>
      <c r="AU48">
        <f t="shared" si="19"/>
        <v>0.6923500640444249</v>
      </c>
      <c r="AV48" s="56">
        <f t="shared" si="20"/>
        <v>6.3090865864978696E-11</v>
      </c>
      <c r="AX48">
        <f t="shared" si="21"/>
        <v>0.28744303368847718</v>
      </c>
      <c r="AY48">
        <f t="shared" si="22"/>
        <v>0.63028789634626514</v>
      </c>
      <c r="AZ48">
        <f t="shared" si="23"/>
        <v>8.2269069965257735E-2</v>
      </c>
      <c r="BB48">
        <f t="shared" si="24"/>
        <v>0.31321057652224443</v>
      </c>
      <c r="BC48">
        <f t="shared" si="25"/>
        <v>0.68678942347775562</v>
      </c>
      <c r="BD48" s="74">
        <f t="shared" si="26"/>
        <v>2.1085921897423532E-10</v>
      </c>
    </row>
    <row r="49" spans="1:56" x14ac:dyDescent="0.25">
      <c r="A49" t="s">
        <v>76</v>
      </c>
      <c r="B49" t="s">
        <v>3</v>
      </c>
      <c r="C49">
        <v>0.55300000000000005</v>
      </c>
      <c r="E49">
        <f>C49+output!$E$10</f>
        <v>0.46974389079265222</v>
      </c>
      <c r="G49" t="s">
        <v>136</v>
      </c>
      <c r="H49" s="52">
        <f t="shared" si="4"/>
        <v>1</v>
      </c>
      <c r="I49" s="52">
        <f t="shared" si="5"/>
        <v>0</v>
      </c>
      <c r="J49" s="52">
        <f t="shared" si="6"/>
        <v>0</v>
      </c>
      <c r="K49" s="52">
        <f t="shared" si="7"/>
        <v>0</v>
      </c>
      <c r="L49" s="53">
        <f t="shared" si="8"/>
        <v>-0.01</v>
      </c>
      <c r="M49" s="55">
        <f>IF(Z49="NOTSYD",E49+L49-L$97+regcalc!P$114,E49+L49-L$97+regcalc!K$114)</f>
        <v>0.49009655756054898</v>
      </c>
      <c r="N49" s="56">
        <f t="shared" si="9"/>
        <v>0.3702670032750679</v>
      </c>
      <c r="P49" t="str">
        <f t="shared" si="10"/>
        <v/>
      </c>
      <c r="R49" s="57">
        <f t="shared" si="12"/>
        <v>0.48175587343363407</v>
      </c>
      <c r="S49" s="56">
        <f t="shared" si="13"/>
        <v>0.27091837944959118</v>
      </c>
      <c r="AB49">
        <v>0.46700000000000003</v>
      </c>
      <c r="AC49">
        <v>0.372</v>
      </c>
      <c r="AD49">
        <v>6.5000000000000002E-2</v>
      </c>
      <c r="AF49" s="57">
        <f>AB49+IF($Z49="NOTSYD",regcalc!U$112*-0.5,regcalc!U$112*0.5)+output!E$4</f>
        <v>0.44465732484076442</v>
      </c>
      <c r="AG49" s="57">
        <f>AC49+IF($Z49="NOTSYD",regcalc!T$112*-0.5,regcalc!T$112*0.5)+output!E$5</f>
        <v>0.45633149971048059</v>
      </c>
      <c r="AH49" s="57">
        <f>AD49+IF($Z49="NOTSYD",regcalc!V$112*-0.5,regcalc!V$112*0.5)+output!E$6</f>
        <v>6.1650492182976253E-2</v>
      </c>
      <c r="AI49" s="57">
        <f t="shared" si="14"/>
        <v>3.7360683265778794E-2</v>
      </c>
      <c r="AK49" s="57">
        <f t="shared" si="15"/>
        <v>0.44465732484076442</v>
      </c>
      <c r="AL49" s="57">
        <f t="shared" si="2"/>
        <v>0.45633149971048059</v>
      </c>
      <c r="AM49" s="57">
        <f t="shared" si="3"/>
        <v>6.1650492182976253E-2</v>
      </c>
      <c r="AN49" s="57">
        <f t="shared" si="16"/>
        <v>3.7360683265778794E-2</v>
      </c>
      <c r="AP49">
        <f>AK49+($AM49*prefs!B$2)+($AN49*prefs!C$2)</f>
        <v>0.46164416957151139</v>
      </c>
      <c r="AQ49">
        <f>AL49+($AM49*prefs!B$3)+($AN49*prefs!C$3)</f>
        <v>0.49660915961204399</v>
      </c>
      <c r="AR49">
        <f t="shared" si="17"/>
        <v>4.1746670816444675E-2</v>
      </c>
      <c r="AT49">
        <f t="shared" si="18"/>
        <v>0.48175587343363407</v>
      </c>
      <c r="AU49">
        <f t="shared" si="19"/>
        <v>0.51824412656636598</v>
      </c>
      <c r="AV49" s="56">
        <f t="shared" si="20"/>
        <v>0.27091837944959118</v>
      </c>
      <c r="AX49">
        <f t="shared" si="21"/>
        <v>0.46511303368847723</v>
      </c>
      <c r="AY49">
        <f t="shared" si="22"/>
        <v>0.48022289634626519</v>
      </c>
      <c r="AZ49">
        <f t="shared" si="23"/>
        <v>5.4664069965257633E-2</v>
      </c>
      <c r="BB49">
        <f t="shared" si="24"/>
        <v>0.49200820460868733</v>
      </c>
      <c r="BC49">
        <f t="shared" si="25"/>
        <v>0.50799179539131278</v>
      </c>
      <c r="BD49" s="74">
        <f t="shared" si="26"/>
        <v>0.3946477392334079</v>
      </c>
    </row>
    <row r="50" spans="1:56" x14ac:dyDescent="0.25">
      <c r="A50" s="50" t="s">
        <v>77</v>
      </c>
      <c r="B50" t="s">
        <v>132</v>
      </c>
      <c r="C50">
        <v>0.51800000000000002</v>
      </c>
      <c r="E50">
        <f>C50+output!$E$10</f>
        <v>0.43474389079265219</v>
      </c>
      <c r="G50" t="s">
        <v>132</v>
      </c>
      <c r="H50" s="52">
        <f t="shared" si="4"/>
        <v>0</v>
      </c>
      <c r="I50" s="52">
        <f t="shared" si="5"/>
        <v>0</v>
      </c>
      <c r="J50" s="52">
        <f t="shared" si="6"/>
        <v>0</v>
      </c>
      <c r="K50" s="52">
        <f t="shared" si="7"/>
        <v>0</v>
      </c>
      <c r="L50" s="53">
        <f t="shared" si="8"/>
        <v>0</v>
      </c>
      <c r="M50" s="55">
        <f>IF(Z50="NOTSYD",E50+L50-L$97+regcalc!P$114,E50+L50-L$97+regcalc!K$114)</f>
        <v>0.46509655756054896</v>
      </c>
      <c r="N50" s="56">
        <f t="shared" si="9"/>
        <v>0.12158831827274297</v>
      </c>
      <c r="P50" t="str">
        <f t="shared" si="10"/>
        <v/>
      </c>
      <c r="Q50" t="str">
        <f t="shared" si="11"/>
        <v>X</v>
      </c>
      <c r="R50" s="57">
        <f t="shared" si="12"/>
        <v>0.45091506332289583</v>
      </c>
      <c r="S50" s="56">
        <f t="shared" si="13"/>
        <v>5.0369951934136403E-2</v>
      </c>
      <c r="AB50">
        <v>0.42599999999999999</v>
      </c>
      <c r="AC50">
        <v>0.39100000000000001</v>
      </c>
      <c r="AD50">
        <v>5.8999999999999997E-2</v>
      </c>
      <c r="AF50" s="57">
        <f>AB50+IF($Z50="NOTSYD",regcalc!U$112*-0.5,regcalc!U$112*0.5)+output!E$4</f>
        <v>0.40365732484076439</v>
      </c>
      <c r="AG50" s="57">
        <f>AC50+IF($Z50="NOTSYD",regcalc!T$112*-0.5,regcalc!T$112*0.5)+output!E$5</f>
        <v>0.47533149971048061</v>
      </c>
      <c r="AH50" s="57">
        <f>AD50+IF($Z50="NOTSYD",regcalc!V$112*-0.5,regcalc!V$112*0.5)+output!E$6</f>
        <v>5.5650492182976248E-2</v>
      </c>
      <c r="AI50" s="57">
        <f t="shared" si="14"/>
        <v>6.5360683265778818E-2</v>
      </c>
      <c r="AK50" s="57">
        <f t="shared" si="15"/>
        <v>0.40365732484076439</v>
      </c>
      <c r="AL50" s="57">
        <f t="shared" si="2"/>
        <v>0.47533149971048061</v>
      </c>
      <c r="AM50" s="57">
        <f t="shared" si="3"/>
        <v>5.5650492182976248E-2</v>
      </c>
      <c r="AN50" s="57">
        <f t="shared" si="16"/>
        <v>6.5360683265778818E-2</v>
      </c>
      <c r="AP50">
        <f>AK50+($AM50*prefs!B$2)+($AN50*prefs!C$2)</f>
        <v>0.42549216957151137</v>
      </c>
      <c r="AQ50">
        <f>AL50+($AM50*prefs!B$3)+($AN50*prefs!C$3)</f>
        <v>0.51812715961204403</v>
      </c>
      <c r="AR50">
        <f t="shared" si="17"/>
        <v>5.63806708164446E-2</v>
      </c>
      <c r="AT50">
        <f t="shared" si="18"/>
        <v>0.45091506332289583</v>
      </c>
      <c r="AU50">
        <f t="shared" si="19"/>
        <v>0.54908493667710412</v>
      </c>
      <c r="AV50" s="56">
        <f t="shared" si="20"/>
        <v>5.0369951934136403E-2</v>
      </c>
      <c r="AX50">
        <f t="shared" si="21"/>
        <v>0.42865823368847716</v>
      </c>
      <c r="AY50">
        <f t="shared" si="22"/>
        <v>0.50453149634626515</v>
      </c>
      <c r="AZ50">
        <f t="shared" si="23"/>
        <v>6.681026996525774E-2</v>
      </c>
      <c r="BB50">
        <f t="shared" si="24"/>
        <v>0.45934735444690161</v>
      </c>
      <c r="BC50">
        <f t="shared" si="25"/>
        <v>0.54065264555309844</v>
      </c>
      <c r="BD50" s="74">
        <f t="shared" si="26"/>
        <v>8.7022214859935776E-2</v>
      </c>
    </row>
    <row r="51" spans="1:56" x14ac:dyDescent="0.25">
      <c r="A51" t="s">
        <v>78</v>
      </c>
      <c r="B51" t="s">
        <v>3</v>
      </c>
      <c r="C51">
        <v>0.54900000000000004</v>
      </c>
      <c r="E51">
        <f>C51+output!$E$10</f>
        <v>0.46574389079265222</v>
      </c>
      <c r="G51" t="s">
        <v>136</v>
      </c>
      <c r="H51" s="52">
        <f t="shared" si="4"/>
        <v>1</v>
      </c>
      <c r="I51" s="52">
        <f t="shared" si="5"/>
        <v>0</v>
      </c>
      <c r="J51" s="52">
        <f t="shared" si="6"/>
        <v>0</v>
      </c>
      <c r="K51" s="52">
        <f t="shared" si="7"/>
        <v>0</v>
      </c>
      <c r="L51" s="53">
        <f t="shared" si="8"/>
        <v>-0.01</v>
      </c>
      <c r="M51" s="55">
        <f>IF(Z51="NOTSYD",E51+L51-L$97+regcalc!P$114,E51+L51-L$97+regcalc!K$114)</f>
        <v>0.55640539853206561</v>
      </c>
      <c r="N51" s="56">
        <f t="shared" si="9"/>
        <v>0.97035622780601538</v>
      </c>
      <c r="P51" t="str">
        <f t="shared" si="10"/>
        <v/>
      </c>
      <c r="Q51" t="str">
        <f t="shared" si="11"/>
        <v/>
      </c>
      <c r="R51" s="57">
        <f t="shared" si="12"/>
        <v>0.43350909059113968</v>
      </c>
      <c r="S51" s="56">
        <f t="shared" si="13"/>
        <v>1.3098153660008549E-2</v>
      </c>
      <c r="Z51" t="s">
        <v>138</v>
      </c>
      <c r="AB51">
        <v>0.39500000000000002</v>
      </c>
      <c r="AC51">
        <v>0.30299999999999999</v>
      </c>
      <c r="AD51">
        <v>6.8000000000000005E-2</v>
      </c>
      <c r="AF51" s="57">
        <f>AB51+IF($Z51="NOTSYD",regcalc!U$112*-0.5,regcalc!U$112*0.5)+output!E$4</f>
        <v>0.30654267515923572</v>
      </c>
      <c r="AG51" s="57">
        <f>AC51+IF($Z51="NOTSYD",regcalc!T$112*-0.5,regcalc!T$112*0.5)+output!E$5</f>
        <v>0.39166850028951944</v>
      </c>
      <c r="AH51" s="57">
        <f>AD51+IF($Z51="NOTSYD",regcalc!V$112*-0.5,regcalc!V$112*0.5)+output!E$6</f>
        <v>7.1749507817023744E-2</v>
      </c>
      <c r="AI51" s="57">
        <f t="shared" si="14"/>
        <v>0.23003931673422107</v>
      </c>
      <c r="AK51" s="57">
        <f t="shared" si="15"/>
        <v>0.30654267515923572</v>
      </c>
      <c r="AL51" s="57">
        <f t="shared" si="2"/>
        <v>0.39166850028951944</v>
      </c>
      <c r="AM51" s="57">
        <f t="shared" si="3"/>
        <v>7.1749507817023744E-2</v>
      </c>
      <c r="AN51" s="57">
        <f t="shared" si="16"/>
        <v>0.23003931673422107</v>
      </c>
      <c r="AP51">
        <f>AK51+($AM51*prefs!B$2)+($AN51*prefs!C$2)</f>
        <v>0.36464993042848876</v>
      </c>
      <c r="AQ51">
        <f>AL51+($AM51*prefs!B$3)+($AN51*prefs!C$3)</f>
        <v>0.47650874038795599</v>
      </c>
      <c r="AR51">
        <f t="shared" si="17"/>
        <v>0.15884132918355531</v>
      </c>
      <c r="AT51">
        <f t="shared" si="18"/>
        <v>0.43350909059113968</v>
      </c>
      <c r="AU51">
        <f t="shared" si="19"/>
        <v>0.56649090940886038</v>
      </c>
      <c r="AV51" s="56">
        <f t="shared" si="20"/>
        <v>1.3098153660008549E-2</v>
      </c>
      <c r="AX51">
        <f t="shared" si="21"/>
        <v>0.3688922463115229</v>
      </c>
      <c r="AY51">
        <f t="shared" si="22"/>
        <v>0.46449014365373481</v>
      </c>
      <c r="AZ51">
        <f t="shared" si="23"/>
        <v>0.16661761003474229</v>
      </c>
      <c r="BB51">
        <f t="shared" si="24"/>
        <v>0.44264463798773263</v>
      </c>
      <c r="BC51">
        <f t="shared" si="25"/>
        <v>0.55735536201226743</v>
      </c>
      <c r="BD51" s="74">
        <f t="shared" si="26"/>
        <v>2.7566958239445327E-2</v>
      </c>
    </row>
    <row r="52" spans="1:56" x14ac:dyDescent="0.25">
      <c r="A52" t="s">
        <v>79</v>
      </c>
      <c r="B52" t="s">
        <v>3</v>
      </c>
      <c r="C52">
        <v>0.82400000000000007</v>
      </c>
      <c r="E52">
        <f>C52+output!$E$10</f>
        <v>0.74074389079265224</v>
      </c>
      <c r="G52" t="s">
        <v>126</v>
      </c>
      <c r="H52" s="52">
        <f t="shared" si="4"/>
        <v>0</v>
      </c>
      <c r="I52" s="52">
        <f t="shared" si="5"/>
        <v>0</v>
      </c>
      <c r="J52" s="52">
        <f t="shared" si="6"/>
        <v>0</v>
      </c>
      <c r="K52" s="52">
        <f t="shared" si="7"/>
        <v>0</v>
      </c>
      <c r="L52" s="53">
        <f t="shared" si="8"/>
        <v>0</v>
      </c>
      <c r="M52" s="55">
        <f>IF(Z52="NOTSYD",E52+L52-L$97+regcalc!P$114,E52+L52-L$97+regcalc!K$114)</f>
        <v>0.77109655756054907</v>
      </c>
      <c r="N52" s="56">
        <f t="shared" si="9"/>
        <v>1</v>
      </c>
      <c r="P52" t="str">
        <f t="shared" si="10"/>
        <v/>
      </c>
      <c r="Q52" t="str">
        <f t="shared" si="11"/>
        <v/>
      </c>
      <c r="R52" s="57">
        <f t="shared" si="12"/>
        <v>0.7153825973556045</v>
      </c>
      <c r="S52" s="56">
        <f t="shared" si="13"/>
        <v>0.99999999999970302</v>
      </c>
      <c r="AB52">
        <v>0.70199999999999996</v>
      </c>
      <c r="AC52">
        <v>0.104</v>
      </c>
      <c r="AD52">
        <v>0.17799999999999999</v>
      </c>
      <c r="AF52" s="57">
        <f>AB52+IF($Z52="NOTSYD",regcalc!U$112*-0.5,regcalc!U$112*0.5)+output!E$4</f>
        <v>0.67965732484076424</v>
      </c>
      <c r="AG52" s="57">
        <f>AC52+IF($Z52="NOTSYD",regcalc!T$112*-0.5,regcalc!T$112*0.5)+output!E$5</f>
        <v>0.18833149971048063</v>
      </c>
      <c r="AH52" s="57">
        <f>AD52+IF($Z52="NOTSYD",regcalc!V$112*-0.5,regcalc!V$112*0.5)+output!E$6</f>
        <v>0.17465049218297624</v>
      </c>
      <c r="AI52" s="57">
        <f t="shared" si="14"/>
        <v>-4.2639316734220944E-2</v>
      </c>
      <c r="AK52" s="57">
        <f t="shared" si="15"/>
        <v>0.65186235923809466</v>
      </c>
      <c r="AL52" s="57">
        <f t="shared" si="2"/>
        <v>0.1806295779257365</v>
      </c>
      <c r="AM52" s="57">
        <f t="shared" si="3"/>
        <v>0.16750806283616904</v>
      </c>
      <c r="AN52" s="57">
        <f t="shared" si="16"/>
        <v>0</v>
      </c>
      <c r="AP52">
        <f>AK52+($AM52*prefs!B$2)+($AN52*prefs!C$2)</f>
        <v>0.67715607672635614</v>
      </c>
      <c r="AQ52">
        <f>AL52+($AM52*prefs!B$3)+($AN52*prefs!C$3)</f>
        <v>0.26940885122890612</v>
      </c>
      <c r="AR52">
        <f t="shared" si="17"/>
        <v>5.3435072044737741E-2</v>
      </c>
      <c r="AT52">
        <f t="shared" si="18"/>
        <v>0.7153825973556045</v>
      </c>
      <c r="AU52">
        <f t="shared" si="19"/>
        <v>0.2846174026443955</v>
      </c>
      <c r="AV52" s="56">
        <f t="shared" si="20"/>
        <v>0.99999999999970302</v>
      </c>
      <c r="AX52">
        <f t="shared" si="21"/>
        <v>0.68646952502004721</v>
      </c>
      <c r="AY52">
        <f t="shared" si="22"/>
        <v>0.2210492734881041</v>
      </c>
      <c r="AZ52">
        <f t="shared" si="23"/>
        <v>9.2481201491848686E-2</v>
      </c>
      <c r="BB52">
        <f t="shared" si="24"/>
        <v>0.75642457891618142</v>
      </c>
      <c r="BC52">
        <f t="shared" si="25"/>
        <v>0.24357542108381863</v>
      </c>
      <c r="BD52" s="74">
        <f t="shared" si="26"/>
        <v>1</v>
      </c>
    </row>
    <row r="53" spans="1:56" x14ac:dyDescent="0.25">
      <c r="A53" s="50" t="s">
        <v>80</v>
      </c>
      <c r="B53" t="s">
        <v>4</v>
      </c>
      <c r="C53">
        <v>0.47700000000000004</v>
      </c>
      <c r="E53">
        <f>C53+output!$E$10</f>
        <v>0.39374389079265221</v>
      </c>
      <c r="G53" t="s">
        <v>130</v>
      </c>
      <c r="H53" s="52">
        <f t="shared" si="4"/>
        <v>0</v>
      </c>
      <c r="I53" s="52">
        <f t="shared" si="5"/>
        <v>0</v>
      </c>
      <c r="J53" s="52">
        <f t="shared" si="6"/>
        <v>0</v>
      </c>
      <c r="K53" s="52">
        <f t="shared" si="7"/>
        <v>0</v>
      </c>
      <c r="L53" s="53">
        <f t="shared" si="8"/>
        <v>0</v>
      </c>
      <c r="M53" s="55">
        <f>IF(Z53="NOTSYD",E53+L53-L$97+regcalc!P$114,E53+L53-L$97+regcalc!K$114)</f>
        <v>0.42409655756054898</v>
      </c>
      <c r="N53" s="56">
        <f t="shared" si="9"/>
        <v>5.574070209885762E-3</v>
      </c>
      <c r="P53" t="str">
        <f t="shared" si="10"/>
        <v/>
      </c>
      <c r="Q53" t="str">
        <f t="shared" si="11"/>
        <v/>
      </c>
      <c r="R53" s="57">
        <f t="shared" si="12"/>
        <v>0.41896433515034581</v>
      </c>
      <c r="S53" s="56">
        <f t="shared" si="13"/>
        <v>3.3679222831269895E-3</v>
      </c>
      <c r="AB53">
        <v>0.43</v>
      </c>
      <c r="AC53">
        <v>0.45100000000000001</v>
      </c>
      <c r="AD53">
        <v>9.7000000000000003E-2</v>
      </c>
      <c r="AF53" s="57">
        <f>AB53+IF($Z53="NOTSYD",regcalc!U$112*-0.5,regcalc!U$112*0.5)+output!E$4</f>
        <v>0.40765732484076439</v>
      </c>
      <c r="AG53" s="57">
        <f>AC53+IF($Z53="NOTSYD",regcalc!T$112*-0.5,regcalc!T$112*0.5)+output!E$5</f>
        <v>0.53533149971048055</v>
      </c>
      <c r="AH53" s="57">
        <f>AD53+IF($Z53="NOTSYD",regcalc!V$112*-0.5,regcalc!V$112*0.5)+output!E$6</f>
        <v>9.3650492182976247E-2</v>
      </c>
      <c r="AI53" s="57">
        <f t="shared" si="14"/>
        <v>-3.6639316734221161E-2</v>
      </c>
      <c r="AK53" s="57">
        <f t="shared" si="15"/>
        <v>0.39324895193540266</v>
      </c>
      <c r="AL53" s="57">
        <f t="shared" si="2"/>
        <v>0.51641056929710449</v>
      </c>
      <c r="AM53" s="57">
        <f t="shared" si="3"/>
        <v>9.0340478767492891E-2</v>
      </c>
      <c r="AN53" s="57">
        <f t="shared" si="16"/>
        <v>0</v>
      </c>
      <c r="AP53">
        <f>AK53+($AM53*prefs!B$2)+($AN53*prefs!C$2)</f>
        <v>0.40689036422929409</v>
      </c>
      <c r="AQ53">
        <f>AL53+($AM53*prefs!B$3)+($AN53*prefs!C$3)</f>
        <v>0.56429102304387568</v>
      </c>
      <c r="AR53">
        <f t="shared" si="17"/>
        <v>2.8818612726830173E-2</v>
      </c>
      <c r="AT53">
        <f t="shared" si="18"/>
        <v>0.41896433515034581</v>
      </c>
      <c r="AU53">
        <f t="shared" si="19"/>
        <v>0.58103566484965419</v>
      </c>
      <c r="AV53" s="56">
        <f t="shared" si="20"/>
        <v>3.3679222831269895E-3</v>
      </c>
      <c r="AX53">
        <f t="shared" si="21"/>
        <v>0.41191329484876671</v>
      </c>
      <c r="AY53">
        <f t="shared" si="22"/>
        <v>0.5382097268237005</v>
      </c>
      <c r="AZ53">
        <f t="shared" si="23"/>
        <v>4.9876978327532795E-2</v>
      </c>
      <c r="BB53">
        <f t="shared" si="24"/>
        <v>0.43353680044894671</v>
      </c>
      <c r="BC53">
        <f t="shared" si="25"/>
        <v>0.56646319955105329</v>
      </c>
      <c r="BD53" s="74">
        <f t="shared" si="26"/>
        <v>1.3129404620206175E-2</v>
      </c>
    </row>
    <row r="54" spans="1:56" x14ac:dyDescent="0.25">
      <c r="A54" t="s">
        <v>81</v>
      </c>
      <c r="B54" t="s">
        <v>3</v>
      </c>
      <c r="C54">
        <v>0.73</v>
      </c>
      <c r="E54">
        <f>C54+output!$E$10</f>
        <v>0.64674389079265215</v>
      </c>
      <c r="G54" t="s">
        <v>136</v>
      </c>
      <c r="H54" s="52">
        <f t="shared" si="4"/>
        <v>1</v>
      </c>
      <c r="I54" s="52">
        <f t="shared" si="5"/>
        <v>0</v>
      </c>
      <c r="J54" s="52">
        <f t="shared" si="6"/>
        <v>0</v>
      </c>
      <c r="K54" s="52">
        <f t="shared" si="7"/>
        <v>0</v>
      </c>
      <c r="L54" s="53">
        <f t="shared" si="8"/>
        <v>-0.01</v>
      </c>
      <c r="M54" s="55">
        <f>IF(Z54="NOTSYD",E54+L54-L$97+regcalc!P$114,E54+L54-L$97+regcalc!K$114)</f>
        <v>0.66709655756054898</v>
      </c>
      <c r="N54" s="56">
        <f t="shared" si="9"/>
        <v>0.99999998846795368</v>
      </c>
      <c r="P54" t="str">
        <f t="shared" si="10"/>
        <v/>
      </c>
      <c r="Q54" t="str">
        <f t="shared" si="11"/>
        <v/>
      </c>
      <c r="R54" s="57">
        <f t="shared" si="12"/>
        <v>0.64652968663005828</v>
      </c>
      <c r="S54" s="56">
        <f t="shared" si="13"/>
        <v>0.99999951980363511</v>
      </c>
      <c r="AB54">
        <v>0.626</v>
      </c>
      <c r="AC54">
        <v>0.20899999999999999</v>
      </c>
      <c r="AD54">
        <v>0.08</v>
      </c>
      <c r="AF54" s="57">
        <f>AB54+IF($Z54="NOTSYD",regcalc!U$112*-0.5,regcalc!U$112*0.5)+output!E$4</f>
        <v>0.6036573248407644</v>
      </c>
      <c r="AG54" s="57">
        <f>AC54+IF($Z54="NOTSYD",regcalc!T$112*-0.5,regcalc!T$112*0.5)+output!E$5</f>
        <v>0.29333149971048061</v>
      </c>
      <c r="AH54" s="57">
        <f>AD54+IF($Z54="NOTSYD",regcalc!V$112*-0.5,regcalc!V$112*0.5)+output!E$6</f>
        <v>7.6650492182976246E-2</v>
      </c>
      <c r="AI54" s="57">
        <f t="shared" si="14"/>
        <v>2.6360683265778784E-2</v>
      </c>
      <c r="AK54" s="57">
        <f t="shared" si="15"/>
        <v>0.6036573248407644</v>
      </c>
      <c r="AL54" s="57">
        <f t="shared" si="2"/>
        <v>0.29333149971048061</v>
      </c>
      <c r="AM54" s="57">
        <f t="shared" si="3"/>
        <v>7.6650492182976246E-2</v>
      </c>
      <c r="AN54" s="57">
        <f t="shared" si="16"/>
        <v>2.6360683265778784E-2</v>
      </c>
      <c r="AP54">
        <f>AK54+($AM54*prefs!B$2)+($AN54*prefs!C$2)</f>
        <v>0.62064866957151132</v>
      </c>
      <c r="AQ54">
        <f>AL54+($AM54*prefs!B$3)+($AN54*prefs!C$3)</f>
        <v>0.339320659612044</v>
      </c>
      <c r="AR54">
        <f t="shared" si="17"/>
        <v>4.0030670816444625E-2</v>
      </c>
      <c r="AT54">
        <f t="shared" si="18"/>
        <v>0.64652968663005828</v>
      </c>
      <c r="AU54">
        <f t="shared" si="19"/>
        <v>0.35347031336994167</v>
      </c>
      <c r="AV54" s="56">
        <f t="shared" si="20"/>
        <v>0.99999951980363511</v>
      </c>
      <c r="AX54">
        <f t="shared" si="21"/>
        <v>0.62493943368847715</v>
      </c>
      <c r="AY54">
        <f t="shared" si="22"/>
        <v>0.31818809634626521</v>
      </c>
      <c r="AZ54">
        <f t="shared" si="23"/>
        <v>5.6872469965257633E-2</v>
      </c>
      <c r="BB54">
        <f t="shared" si="24"/>
        <v>0.66262452721049936</v>
      </c>
      <c r="BC54">
        <f t="shared" si="25"/>
        <v>0.3373754727895007</v>
      </c>
      <c r="BD54" s="74">
        <f t="shared" si="26"/>
        <v>0.99999997302212218</v>
      </c>
    </row>
    <row r="55" spans="1:56" x14ac:dyDescent="0.25">
      <c r="A55" t="s">
        <v>82</v>
      </c>
      <c r="B55" t="s">
        <v>3</v>
      </c>
      <c r="C55">
        <v>0.52</v>
      </c>
      <c r="E55">
        <f>C55+output!$E$10</f>
        <v>0.43674389079265219</v>
      </c>
      <c r="G55" t="s">
        <v>135</v>
      </c>
      <c r="H55" s="52">
        <f t="shared" si="4"/>
        <v>0</v>
      </c>
      <c r="I55" s="52">
        <f t="shared" si="5"/>
        <v>1</v>
      </c>
      <c r="J55" s="52">
        <f t="shared" si="6"/>
        <v>1</v>
      </c>
      <c r="K55" s="52">
        <f t="shared" si="7"/>
        <v>0</v>
      </c>
      <c r="L55" s="53">
        <f t="shared" si="8"/>
        <v>1.3999999999999999E-2</v>
      </c>
      <c r="M55" s="55">
        <f>IF(Z55="NOTSYD",E55+L55-L$97+regcalc!P$114,E55+L55-L$97+regcalc!K$114)</f>
        <v>0.55140539853206549</v>
      </c>
      <c r="N55" s="56">
        <f t="shared" si="9"/>
        <v>0.95718075298748351</v>
      </c>
      <c r="P55" t="str">
        <f t="shared" si="10"/>
        <v/>
      </c>
      <c r="Q55" t="str">
        <f t="shared" si="11"/>
        <v/>
      </c>
      <c r="R55" s="57">
        <f t="shared" si="12"/>
        <v>0.42230039526951824</v>
      </c>
      <c r="S55" s="56">
        <f t="shared" si="13"/>
        <v>4.6873350163979532E-3</v>
      </c>
      <c r="Z55" t="s">
        <v>138</v>
      </c>
      <c r="AB55">
        <v>0.47099999999999997</v>
      </c>
      <c r="AC55">
        <v>0.41099999999999998</v>
      </c>
      <c r="AD55">
        <v>7.8E-2</v>
      </c>
      <c r="AF55" s="57">
        <f>AB55+IF($Z55="NOTSYD",regcalc!U$112*-0.5,regcalc!U$112*0.5)+output!E$4</f>
        <v>0.38254267515923568</v>
      </c>
      <c r="AG55" s="57">
        <f>AC55+IF($Z55="NOTSYD",regcalc!T$112*-0.5,regcalc!T$112*0.5)+output!E$5</f>
        <v>0.49966850028951942</v>
      </c>
      <c r="AH55" s="57">
        <f>AD55+IF($Z55="NOTSYD",regcalc!V$112*-0.5,regcalc!V$112*0.5)+output!E$6</f>
        <v>8.1749507817023739E-2</v>
      </c>
      <c r="AI55" s="57">
        <f t="shared" si="14"/>
        <v>3.6039316734221116E-2</v>
      </c>
      <c r="AK55" s="57">
        <f t="shared" si="15"/>
        <v>0.38254267515923568</v>
      </c>
      <c r="AL55" s="57">
        <f t="shared" si="2"/>
        <v>0.49966850028951942</v>
      </c>
      <c r="AM55" s="57">
        <f t="shared" si="3"/>
        <v>8.1749507817023739E-2</v>
      </c>
      <c r="AN55" s="57">
        <f t="shared" si="16"/>
        <v>3.6039316734221116E-2</v>
      </c>
      <c r="AP55">
        <f>AK55+($AM55*prefs!B$2)+($AN55*prefs!C$2)</f>
        <v>0.40229293042848874</v>
      </c>
      <c r="AQ55">
        <f>AL55+($AM55*prefs!B$3)+($AN55*prefs!C$3)</f>
        <v>0.55032974038795601</v>
      </c>
      <c r="AR55">
        <f t="shared" si="17"/>
        <v>4.7377329183555306E-2</v>
      </c>
      <c r="AT55">
        <f t="shared" si="18"/>
        <v>0.42230039526951824</v>
      </c>
      <c r="AU55">
        <f t="shared" si="19"/>
        <v>0.57769960473048187</v>
      </c>
      <c r="AV55" s="56">
        <f t="shared" si="20"/>
        <v>4.6873350163979532E-3</v>
      </c>
      <c r="AX55">
        <f t="shared" si="21"/>
        <v>0.40687784631152285</v>
      </c>
      <c r="AY55">
        <f t="shared" si="22"/>
        <v>0.52809094365373477</v>
      </c>
      <c r="AZ55">
        <f t="shared" si="23"/>
        <v>6.5031210034742326E-2</v>
      </c>
      <c r="BB55">
        <f t="shared" si="24"/>
        <v>0.43517799810905128</v>
      </c>
      <c r="BC55">
        <f t="shared" si="25"/>
        <v>0.56482200189094867</v>
      </c>
      <c r="BD55" s="74">
        <f t="shared" si="26"/>
        <v>1.5098942673457127E-2</v>
      </c>
    </row>
    <row r="56" spans="1:56" x14ac:dyDescent="0.25">
      <c r="A56" s="50" t="s">
        <v>83</v>
      </c>
      <c r="B56" t="s">
        <v>3</v>
      </c>
      <c r="C56">
        <v>0.44</v>
      </c>
      <c r="E56">
        <f>C56+output!$E$10</f>
        <v>0.35674389079265217</v>
      </c>
      <c r="G56" t="s">
        <v>127</v>
      </c>
      <c r="H56" s="52">
        <f t="shared" si="4"/>
        <v>1</v>
      </c>
      <c r="I56" s="52">
        <f t="shared" si="5"/>
        <v>0</v>
      </c>
      <c r="J56" s="52">
        <f t="shared" si="6"/>
        <v>0</v>
      </c>
      <c r="K56" s="52">
        <f t="shared" si="7"/>
        <v>0</v>
      </c>
      <c r="L56" s="53">
        <f t="shared" si="8"/>
        <v>-0.01</v>
      </c>
      <c r="M56" s="55">
        <f>IF(Z56="NOTSYD",E56+L56-L$97+regcalc!P$114,E56+L56-L$97+regcalc!K$114)</f>
        <v>0.37709655756054894</v>
      </c>
      <c r="N56" s="56">
        <f t="shared" si="9"/>
        <v>1.9818735360055406E-5</v>
      </c>
      <c r="P56" t="str">
        <f t="shared" si="10"/>
        <v/>
      </c>
      <c r="Q56" t="str">
        <f t="shared" si="11"/>
        <v/>
      </c>
      <c r="R56" s="57">
        <f t="shared" si="12"/>
        <v>0.37048355801882754</v>
      </c>
      <c r="S56" s="56">
        <f t="shared" si="13"/>
        <v>7.4316404701235683E-6</v>
      </c>
      <c r="AB56">
        <v>0.36</v>
      </c>
      <c r="AC56">
        <v>0.47299999999999998</v>
      </c>
      <c r="AD56">
        <v>7.9000000000000001E-2</v>
      </c>
      <c r="AF56" s="57">
        <f>AB56+IF($Z56="NOTSYD",regcalc!U$112*-0.5,regcalc!U$112*0.5)+output!E$4</f>
        <v>0.33765732484076438</v>
      </c>
      <c r="AG56" s="57">
        <f>AC56+IF($Z56="NOTSYD",regcalc!T$112*-0.5,regcalc!T$112*0.5)+output!E$5</f>
        <v>0.55733149971048057</v>
      </c>
      <c r="AH56" s="57">
        <f>AD56+IF($Z56="NOTSYD",regcalc!V$112*-0.5,regcalc!V$112*0.5)+output!E$6</f>
        <v>7.5650492182976245E-2</v>
      </c>
      <c r="AI56" s="57">
        <f t="shared" si="14"/>
        <v>2.9360683265778786E-2</v>
      </c>
      <c r="AK56" s="57">
        <f t="shared" si="15"/>
        <v>0.33765732484076438</v>
      </c>
      <c r="AL56" s="57">
        <f t="shared" si="2"/>
        <v>0.55733149971048057</v>
      </c>
      <c r="AM56" s="57">
        <f t="shared" si="3"/>
        <v>7.5650492182976245E-2</v>
      </c>
      <c r="AN56" s="57">
        <f t="shared" si="16"/>
        <v>2.9360683265778786E-2</v>
      </c>
      <c r="AP56">
        <f>AK56+($AM56*prefs!B$2)+($AN56*prefs!C$2)</f>
        <v>0.35511416957151132</v>
      </c>
      <c r="AQ56">
        <f>AL56+($AM56*prefs!B$3)+($AN56*prefs!C$3)</f>
        <v>0.60340115961204399</v>
      </c>
      <c r="AR56">
        <f t="shared" si="17"/>
        <v>4.1484670816444691E-2</v>
      </c>
      <c r="AT56">
        <f t="shared" si="18"/>
        <v>0.37048355801882754</v>
      </c>
      <c r="AU56">
        <f t="shared" si="19"/>
        <v>0.6295164419811724</v>
      </c>
      <c r="AV56" s="56">
        <f t="shared" si="20"/>
        <v>7.4316404701235683E-6</v>
      </c>
      <c r="AX56">
        <f t="shared" si="21"/>
        <v>0.3593526336884772</v>
      </c>
      <c r="AY56">
        <f t="shared" si="22"/>
        <v>0.58267069634626512</v>
      </c>
      <c r="AZ56">
        <f t="shared" si="23"/>
        <v>5.7976669965257743E-2</v>
      </c>
      <c r="BB56">
        <f t="shared" si="24"/>
        <v>0.38146893206479726</v>
      </c>
      <c r="BC56">
        <f t="shared" si="25"/>
        <v>0.61853106793520274</v>
      </c>
      <c r="BD56" s="74">
        <f t="shared" si="26"/>
        <v>3.6947777147688932E-5</v>
      </c>
    </row>
    <row r="57" spans="1:56" x14ac:dyDescent="0.25">
      <c r="A57" t="s">
        <v>84</v>
      </c>
      <c r="B57" t="s">
        <v>3</v>
      </c>
      <c r="C57">
        <v>0.624</v>
      </c>
      <c r="E57">
        <f>C57+output!$E$10</f>
        <v>0.54074389079265217</v>
      </c>
      <c r="G57" t="s">
        <v>135</v>
      </c>
      <c r="H57" s="52">
        <f t="shared" si="4"/>
        <v>0</v>
      </c>
      <c r="I57" s="52">
        <f t="shared" si="5"/>
        <v>1</v>
      </c>
      <c r="J57" s="52">
        <f t="shared" si="6"/>
        <v>1</v>
      </c>
      <c r="K57" s="52">
        <f t="shared" si="7"/>
        <v>1</v>
      </c>
      <c r="L57" s="53">
        <f t="shared" si="8"/>
        <v>2.1999999999999999E-2</v>
      </c>
      <c r="M57" s="55">
        <f>IF(Z57="NOTSYD",E57+L57-L$97+regcalc!P$114,E57+L57-L$97+regcalc!K$114)</f>
        <v>0.59309655756054902</v>
      </c>
      <c r="N57" s="56">
        <f t="shared" si="9"/>
        <v>0.99907375408036347</v>
      </c>
      <c r="P57" t="str">
        <f t="shared" si="10"/>
        <v/>
      </c>
      <c r="Q57" t="str">
        <f t="shared" si="11"/>
        <v/>
      </c>
      <c r="R57" s="57">
        <f t="shared" si="12"/>
        <v>0.54818917663543887</v>
      </c>
      <c r="S57" s="56">
        <f t="shared" si="13"/>
        <v>0.94644556397395618</v>
      </c>
      <c r="AB57">
        <v>0.53400000000000003</v>
      </c>
      <c r="AC57">
        <v>0.314</v>
      </c>
      <c r="AD57">
        <v>5.8000000000000003E-2</v>
      </c>
      <c r="AF57" s="57">
        <f>AB57+IF($Z57="NOTSYD",regcalc!U$112*-0.5,regcalc!U$112*0.5)+output!E$4</f>
        <v>0.51165732484076432</v>
      </c>
      <c r="AG57" s="57">
        <f>AC57+IF($Z57="NOTSYD",regcalc!T$112*-0.5,regcalc!T$112*0.5)+output!E$5</f>
        <v>0.3983314997104806</v>
      </c>
      <c r="AH57" s="57">
        <f>AD57+IF($Z57="NOTSYD",regcalc!V$112*-0.5,regcalc!V$112*0.5)+output!E$6</f>
        <v>5.4650492182976254E-2</v>
      </c>
      <c r="AI57" s="57">
        <f t="shared" si="14"/>
        <v>3.5360683265778903E-2</v>
      </c>
      <c r="AK57" s="57">
        <f t="shared" si="15"/>
        <v>0.51165732484076432</v>
      </c>
      <c r="AL57" s="57">
        <f t="shared" si="2"/>
        <v>0.3983314997104806</v>
      </c>
      <c r="AM57" s="57">
        <f t="shared" si="3"/>
        <v>5.4650492182976254E-2</v>
      </c>
      <c r="AN57" s="57">
        <f t="shared" si="16"/>
        <v>3.5360683265778903E-2</v>
      </c>
      <c r="AP57">
        <f>AK57+($AM57*prefs!B$2)+($AN57*prefs!C$2)</f>
        <v>0.52717616957151137</v>
      </c>
      <c r="AQ57">
        <f>AL57+($AM57*prefs!B$3)+($AN57*prefs!C$3)</f>
        <v>0.43449215961204402</v>
      </c>
      <c r="AR57">
        <f t="shared" si="17"/>
        <v>3.8331670816444618E-2</v>
      </c>
      <c r="AT57">
        <f t="shared" si="18"/>
        <v>0.54818917663543887</v>
      </c>
      <c r="AU57">
        <f t="shared" si="19"/>
        <v>0.45181082336456119</v>
      </c>
      <c r="AV57" s="56">
        <f t="shared" si="20"/>
        <v>0.94644556397395618</v>
      </c>
      <c r="AX57">
        <f t="shared" si="21"/>
        <v>0.53025363368847711</v>
      </c>
      <c r="AY57">
        <f t="shared" si="22"/>
        <v>0.4200511963462652</v>
      </c>
      <c r="AZ57">
        <f t="shared" si="23"/>
        <v>4.9695169965257691E-2</v>
      </c>
      <c r="BB57">
        <f t="shared" si="24"/>
        <v>0.55798267769415788</v>
      </c>
      <c r="BC57">
        <f t="shared" si="25"/>
        <v>0.44201732230584212</v>
      </c>
      <c r="BD57" s="74">
        <f t="shared" si="26"/>
        <v>0.97373686265721981</v>
      </c>
    </row>
    <row r="58" spans="1:56" x14ac:dyDescent="0.25">
      <c r="A58" t="s">
        <v>85</v>
      </c>
      <c r="B58" t="s">
        <v>3</v>
      </c>
      <c r="C58">
        <v>0.80899999999999994</v>
      </c>
      <c r="E58">
        <f>C58+output!$E$10</f>
        <v>0.72574389079265211</v>
      </c>
      <c r="G58" t="s">
        <v>136</v>
      </c>
      <c r="H58" s="52">
        <f t="shared" si="4"/>
        <v>1</v>
      </c>
      <c r="I58" s="52">
        <f t="shared" si="5"/>
        <v>0</v>
      </c>
      <c r="J58" s="52">
        <f t="shared" si="6"/>
        <v>0</v>
      </c>
      <c r="K58" s="52">
        <f t="shared" si="7"/>
        <v>0</v>
      </c>
      <c r="L58" s="53">
        <f t="shared" si="8"/>
        <v>-0.01</v>
      </c>
      <c r="M58" s="55">
        <f>IF(Z58="NOTSYD",E58+L58-L$97+regcalc!P$114,E58+L58-L$97+regcalc!K$114)</f>
        <v>0.81640539853206551</v>
      </c>
      <c r="N58" s="56">
        <f t="shared" si="9"/>
        <v>1</v>
      </c>
      <c r="P58" t="str">
        <f t="shared" si="10"/>
        <v/>
      </c>
      <c r="Q58" t="str">
        <f t="shared" si="11"/>
        <v/>
      </c>
      <c r="R58" s="57">
        <f t="shared" si="12"/>
        <v>0.70968536891887324</v>
      </c>
      <c r="S58" s="56">
        <f t="shared" si="13"/>
        <v>0.99999999999881983</v>
      </c>
      <c r="Z58" t="s">
        <v>138</v>
      </c>
      <c r="AB58">
        <v>0.77800000000000002</v>
      </c>
      <c r="AC58">
        <v>0.17499999999999999</v>
      </c>
      <c r="AD58">
        <v>3.3000000000000002E-2</v>
      </c>
      <c r="AF58" s="57">
        <f>AB58+IF($Z58="NOTSYD",regcalc!U$112*-0.5,regcalc!U$112*0.5)+output!E$4</f>
        <v>0.68954267515923573</v>
      </c>
      <c r="AG58" s="57">
        <f>AC58+IF($Z58="NOTSYD",regcalc!T$112*-0.5,regcalc!T$112*0.5)+output!E$5</f>
        <v>0.26366850028951938</v>
      </c>
      <c r="AH58" s="57">
        <f>AD58+IF($Z58="NOTSYD",regcalc!V$112*-0.5,regcalc!V$112*0.5)+output!E$6</f>
        <v>3.6749507817023734E-2</v>
      </c>
      <c r="AI58" s="57">
        <f t="shared" si="14"/>
        <v>1.0039316734221204E-2</v>
      </c>
      <c r="AK58" s="57">
        <f t="shared" si="15"/>
        <v>0.68954267515923573</v>
      </c>
      <c r="AL58" s="57">
        <f t="shared" si="2"/>
        <v>0.26366850028951938</v>
      </c>
      <c r="AM58" s="57">
        <f t="shared" si="3"/>
        <v>3.6749507817023734E-2</v>
      </c>
      <c r="AN58" s="57">
        <f t="shared" si="16"/>
        <v>1.0039316734221204E-2</v>
      </c>
      <c r="AP58">
        <f>AK58+($AM58*prefs!B$2)+($AN58*prefs!C$2)</f>
        <v>0.69715493042848875</v>
      </c>
      <c r="AQ58">
        <f>AL58+($AM58*prefs!B$3)+($AN58*prefs!C$3)</f>
        <v>0.285188740387956</v>
      </c>
      <c r="AR58">
        <f t="shared" si="17"/>
        <v>1.7656329183555197E-2</v>
      </c>
      <c r="AT58">
        <f t="shared" si="18"/>
        <v>0.70968536891887324</v>
      </c>
      <c r="AU58">
        <f t="shared" si="19"/>
        <v>0.29031463108112676</v>
      </c>
      <c r="AV58" s="56">
        <f t="shared" si="20"/>
        <v>0.99999999999881983</v>
      </c>
      <c r="AX58">
        <f t="shared" si="21"/>
        <v>0.69920924631152293</v>
      </c>
      <c r="AY58">
        <f t="shared" si="22"/>
        <v>0.27495864365373479</v>
      </c>
      <c r="AZ58">
        <f t="shared" si="23"/>
        <v>2.5832110034742284E-2</v>
      </c>
      <c r="BB58">
        <f t="shared" si="24"/>
        <v>0.71775024974027757</v>
      </c>
      <c r="BC58">
        <f t="shared" si="25"/>
        <v>0.28224975025972249</v>
      </c>
      <c r="BD58" s="74">
        <f t="shared" si="26"/>
        <v>0.99999999999983435</v>
      </c>
    </row>
    <row r="59" spans="1:56" x14ac:dyDescent="0.25">
      <c r="A59" t="s">
        <v>86</v>
      </c>
      <c r="B59" t="s">
        <v>3</v>
      </c>
      <c r="C59">
        <v>0.78600000000000003</v>
      </c>
      <c r="E59">
        <f>C59+output!$E$10</f>
        <v>0.7027438907926522</v>
      </c>
      <c r="G59" t="s">
        <v>134</v>
      </c>
      <c r="H59" s="52">
        <f t="shared" si="4"/>
        <v>0</v>
      </c>
      <c r="I59" s="52">
        <f t="shared" si="5"/>
        <v>0</v>
      </c>
      <c r="J59" s="52">
        <f t="shared" si="6"/>
        <v>0</v>
      </c>
      <c r="K59" s="52">
        <f t="shared" si="7"/>
        <v>0</v>
      </c>
      <c r="L59" s="53">
        <f t="shared" si="8"/>
        <v>0</v>
      </c>
      <c r="M59" s="55">
        <f>IF(Z59="NOTSYD",E59+L59-L$97+regcalc!P$114,E59+L59-L$97+regcalc!K$114)</f>
        <v>0.80340539853206561</v>
      </c>
      <c r="N59" s="56">
        <f t="shared" si="9"/>
        <v>1</v>
      </c>
      <c r="P59" t="str">
        <f t="shared" si="10"/>
        <v/>
      </c>
      <c r="Q59" t="str">
        <f t="shared" si="11"/>
        <v/>
      </c>
      <c r="R59" s="57">
        <f t="shared" si="12"/>
        <v>0.67732470462857053</v>
      </c>
      <c r="S59" s="56">
        <f t="shared" si="13"/>
        <v>0.99999999847879273</v>
      </c>
      <c r="Z59" t="s">
        <v>138</v>
      </c>
      <c r="AB59">
        <v>0.64600000000000002</v>
      </c>
      <c r="AC59">
        <v>0.127</v>
      </c>
      <c r="AD59">
        <v>7.0000000000000007E-2</v>
      </c>
      <c r="AF59" s="57">
        <f>AB59+IF($Z59="NOTSYD",regcalc!U$112*-0.5,regcalc!U$112*0.5)+output!E$4</f>
        <v>0.55754267515923583</v>
      </c>
      <c r="AG59" s="57">
        <f>AC59+IF($Z59="NOTSYD",regcalc!T$112*-0.5,regcalc!T$112*0.5)+output!E$5</f>
        <v>0.21566850028951942</v>
      </c>
      <c r="AH59" s="57">
        <f>AD59+IF($Z59="NOTSYD",regcalc!V$112*-0.5,regcalc!V$112*0.5)+output!E$6</f>
        <v>7.3749507817023746E-2</v>
      </c>
      <c r="AI59" s="57">
        <f t="shared" si="14"/>
        <v>0.153039316734221</v>
      </c>
      <c r="AK59" s="57">
        <f t="shared" si="15"/>
        <v>0.55754267515923583</v>
      </c>
      <c r="AL59" s="57">
        <f t="shared" si="2"/>
        <v>0.21566850028951942</v>
      </c>
      <c r="AM59" s="57">
        <f t="shared" si="3"/>
        <v>7.3749507817023746E-2</v>
      </c>
      <c r="AN59" s="57">
        <f t="shared" si="16"/>
        <v>0.153039316734221</v>
      </c>
      <c r="AP59">
        <f>AK59+($AM59*prefs!B$2)+($AN59*prefs!C$2)</f>
        <v>0.60012843042848885</v>
      </c>
      <c r="AQ59">
        <f>AL59+($AM59*prefs!B$3)+($AN59*prefs!C$3)</f>
        <v>0.285899240387956</v>
      </c>
      <c r="AR59">
        <f t="shared" si="17"/>
        <v>0.11397232918355515</v>
      </c>
      <c r="AT59">
        <f t="shared" si="18"/>
        <v>0.67732470462857053</v>
      </c>
      <c r="AU59">
        <f t="shared" si="19"/>
        <v>0.32267529537142947</v>
      </c>
      <c r="AV59" s="56">
        <f t="shared" si="20"/>
        <v>0.99999999847879273</v>
      </c>
      <c r="AX59">
        <f t="shared" si="21"/>
        <v>0.60439724631152303</v>
      </c>
      <c r="AY59">
        <f t="shared" si="22"/>
        <v>0.27039264365373478</v>
      </c>
      <c r="AZ59">
        <f t="shared" si="23"/>
        <v>0.12521011003474225</v>
      </c>
      <c r="BB59">
        <f t="shared" si="24"/>
        <v>0.69090561430188302</v>
      </c>
      <c r="BC59">
        <f t="shared" si="25"/>
        <v>0.30909438569811709</v>
      </c>
      <c r="BD59" s="74">
        <f t="shared" si="26"/>
        <v>0.99999999991340327</v>
      </c>
    </row>
    <row r="60" spans="1:56" x14ac:dyDescent="0.25">
      <c r="A60" t="s">
        <v>87</v>
      </c>
      <c r="B60" t="s">
        <v>3</v>
      </c>
      <c r="C60">
        <v>0.52500000000000002</v>
      </c>
      <c r="E60">
        <f>C60+output!$E$10</f>
        <v>0.44174389079265219</v>
      </c>
      <c r="G60" t="s">
        <v>129</v>
      </c>
      <c r="H60" s="52">
        <f t="shared" si="4"/>
        <v>0</v>
      </c>
      <c r="I60" s="52">
        <f t="shared" si="5"/>
        <v>0</v>
      </c>
      <c r="J60" s="52">
        <f t="shared" si="6"/>
        <v>0</v>
      </c>
      <c r="K60" s="52">
        <f t="shared" si="7"/>
        <v>0</v>
      </c>
      <c r="L60" s="53">
        <f t="shared" si="8"/>
        <v>0</v>
      </c>
      <c r="M60" s="55">
        <f>IF(Z60="NOTSYD",E60+L60-L$97+regcalc!P$114,E60+L60-L$97+regcalc!K$114)</f>
        <v>0.5424053985320656</v>
      </c>
      <c r="N60" s="56">
        <f t="shared" si="9"/>
        <v>0.92189441650839987</v>
      </c>
      <c r="P60" t="str">
        <f t="shared" si="10"/>
        <v/>
      </c>
      <c r="Q60" t="str">
        <f t="shared" si="11"/>
        <v/>
      </c>
      <c r="R60" s="57">
        <f t="shared" si="12"/>
        <v>0.39750149738754464</v>
      </c>
      <c r="S60" s="56">
        <f t="shared" si="13"/>
        <v>3.0481574453344873E-4</v>
      </c>
      <c r="Z60" t="s">
        <v>138</v>
      </c>
      <c r="AB60">
        <v>0.371</v>
      </c>
      <c r="AC60">
        <v>0.311</v>
      </c>
      <c r="AD60">
        <v>0.15</v>
      </c>
      <c r="AF60" s="57">
        <f>AB60+IF($Z60="NOTSYD",regcalc!U$112*-0.5,regcalc!U$112*0.5)+output!E$4</f>
        <v>0.2825426751592357</v>
      </c>
      <c r="AG60" s="57">
        <f>AC60+IF($Z60="NOTSYD",regcalc!T$112*-0.5,regcalc!T$112*0.5)+output!E$5</f>
        <v>0.39966850028951945</v>
      </c>
      <c r="AH60" s="57">
        <f>AD60+IF($Z60="NOTSYD",regcalc!V$112*-0.5,regcalc!V$112*0.5)+output!E$6</f>
        <v>0.15374950781702373</v>
      </c>
      <c r="AI60" s="57">
        <f t="shared" si="14"/>
        <v>0.16403931673422112</v>
      </c>
      <c r="AK60" s="57">
        <f t="shared" si="15"/>
        <v>0.2825426751592357</v>
      </c>
      <c r="AL60" s="57">
        <f t="shared" si="2"/>
        <v>0.39966850028951945</v>
      </c>
      <c r="AM60" s="57">
        <f t="shared" si="3"/>
        <v>0.15374950781702373</v>
      </c>
      <c r="AN60" s="57">
        <f t="shared" si="16"/>
        <v>0.16403931673422112</v>
      </c>
      <c r="AP60">
        <f>AK60+($AM60*prefs!B$2)+($AN60*prefs!C$2)</f>
        <v>0.33946893042848875</v>
      </c>
      <c r="AQ60">
        <f>AL60+($AM60*prefs!B$3)+($AN60*prefs!C$3)</f>
        <v>0.51453774038795608</v>
      </c>
      <c r="AR60">
        <f t="shared" si="17"/>
        <v>0.14599332918355512</v>
      </c>
      <c r="AT60">
        <f t="shared" si="18"/>
        <v>0.39750149738754464</v>
      </c>
      <c r="AU60">
        <f t="shared" si="19"/>
        <v>0.6024985026124553</v>
      </c>
      <c r="AV60" s="56">
        <f t="shared" si="20"/>
        <v>3.0481574453344873E-4</v>
      </c>
      <c r="AX60">
        <f t="shared" si="21"/>
        <v>0.3481978463115229</v>
      </c>
      <c r="AY60">
        <f t="shared" si="22"/>
        <v>0.47635094365373482</v>
      </c>
      <c r="AZ60">
        <f t="shared" si="23"/>
        <v>0.17545121003474229</v>
      </c>
      <c r="BB60">
        <f t="shared" si="24"/>
        <v>0.42228895433367158</v>
      </c>
      <c r="BC60">
        <f t="shared" si="25"/>
        <v>0.57771104566632836</v>
      </c>
      <c r="BD60" s="74">
        <f t="shared" si="26"/>
        <v>4.6821153645825175E-3</v>
      </c>
    </row>
    <row r="61" spans="1:56" x14ac:dyDescent="0.25">
      <c r="A61" s="50" t="s">
        <v>88</v>
      </c>
      <c r="B61" t="s">
        <v>132</v>
      </c>
      <c r="C61">
        <v>0.36299999999999999</v>
      </c>
      <c r="E61">
        <f>C61+output!$E$10</f>
        <v>0.27974389079265216</v>
      </c>
      <c r="G61" t="s">
        <v>133</v>
      </c>
      <c r="H61" s="52">
        <f t="shared" si="4"/>
        <v>0</v>
      </c>
      <c r="I61" s="52">
        <f t="shared" si="5"/>
        <v>0</v>
      </c>
      <c r="J61" s="52">
        <f t="shared" si="6"/>
        <v>0</v>
      </c>
      <c r="K61" s="52">
        <f t="shared" si="7"/>
        <v>0</v>
      </c>
      <c r="L61" s="53">
        <f t="shared" si="8"/>
        <v>0</v>
      </c>
      <c r="M61" s="55">
        <f>IF(Z61="NOTSYD",E61+L61-L$97+regcalc!P$114,E61+L61-L$97+regcalc!K$114)</f>
        <v>0.31009655756054894</v>
      </c>
      <c r="N61" s="56">
        <f t="shared" si="9"/>
        <v>1.077312683506193E-10</v>
      </c>
      <c r="P61" t="str">
        <f t="shared" si="10"/>
        <v/>
      </c>
      <c r="Q61" t="str">
        <f t="shared" si="11"/>
        <v/>
      </c>
      <c r="R61" s="57">
        <f t="shared" si="12"/>
        <v>0.30249588785011144</v>
      </c>
      <c r="S61" s="56">
        <f t="shared" si="13"/>
        <v>2.0004775613813308E-11</v>
      </c>
      <c r="AB61">
        <v>0.21</v>
      </c>
      <c r="AC61">
        <v>0.30399999999999999</v>
      </c>
      <c r="AD61">
        <v>0.35499999999999998</v>
      </c>
      <c r="AF61" s="57">
        <f>AB61+IF($Z61="NOTSYD",regcalc!U$112*-0.5,regcalc!U$112*0.5)+output!E$4</f>
        <v>0.18765732484076436</v>
      </c>
      <c r="AG61" s="57">
        <f>AC61+IF($Z61="NOTSYD",regcalc!T$112*-0.5,regcalc!T$112*0.5)+output!E$5</f>
        <v>0.38833149971048059</v>
      </c>
      <c r="AH61" s="57">
        <f>AD61+IF($Z61="NOTSYD",regcalc!V$112*-0.5,regcalc!V$112*0.5)+output!E$6</f>
        <v>0.35165049218297623</v>
      </c>
      <c r="AI61" s="57">
        <f t="shared" si="14"/>
        <v>7.2360683265778825E-2</v>
      </c>
      <c r="AK61" s="57">
        <f t="shared" si="15"/>
        <v>0.18765732484076436</v>
      </c>
      <c r="AL61" s="57">
        <f t="shared" si="2"/>
        <v>0.38833149971048059</v>
      </c>
      <c r="AM61" s="57">
        <f t="shared" si="3"/>
        <v>0.35165049218297623</v>
      </c>
      <c r="AN61" s="57">
        <f t="shared" si="16"/>
        <v>7.2360683265778825E-2</v>
      </c>
      <c r="AP61">
        <f>AK61+($AM61*prefs!B$2)+($AN61*prefs!C$2)</f>
        <v>0.25562666957151131</v>
      </c>
      <c r="AQ61">
        <f>AL61+($AM61*prefs!B$3)+($AN61*prefs!C$3)</f>
        <v>0.58943165961204402</v>
      </c>
      <c r="AR61">
        <f t="shared" si="17"/>
        <v>0.15494167081644461</v>
      </c>
      <c r="AT61">
        <f t="shared" si="18"/>
        <v>0.30249588785011144</v>
      </c>
      <c r="AU61">
        <f t="shared" si="19"/>
        <v>0.6975041121498885</v>
      </c>
      <c r="AV61" s="56">
        <f t="shared" si="20"/>
        <v>2.0004775613813308E-11</v>
      </c>
      <c r="AX61">
        <f t="shared" si="21"/>
        <v>0.27525803368847718</v>
      </c>
      <c r="AY61">
        <f t="shared" si="22"/>
        <v>0.49064539634626519</v>
      </c>
      <c r="AZ61">
        <f t="shared" si="23"/>
        <v>0.23409656996525763</v>
      </c>
      <c r="BB61">
        <f t="shared" si="24"/>
        <v>0.35938999995859938</v>
      </c>
      <c r="BC61">
        <f t="shared" si="25"/>
        <v>0.64061000004140067</v>
      </c>
      <c r="BD61" s="74">
        <f t="shared" si="26"/>
        <v>1.2903658366258952E-6</v>
      </c>
    </row>
    <row r="62" spans="1:56" x14ac:dyDescent="0.25">
      <c r="A62" t="s">
        <v>89</v>
      </c>
      <c r="B62" t="s">
        <v>3</v>
      </c>
      <c r="C62">
        <v>0.80400000000000005</v>
      </c>
      <c r="E62">
        <f>C62+output!$E$10</f>
        <v>0.72074389079265222</v>
      </c>
      <c r="G62" t="s">
        <v>126</v>
      </c>
      <c r="H62" s="52">
        <f t="shared" si="4"/>
        <v>0</v>
      </c>
      <c r="I62" s="52">
        <f t="shared" si="5"/>
        <v>0</v>
      </c>
      <c r="J62" s="52">
        <f t="shared" si="6"/>
        <v>0</v>
      </c>
      <c r="K62" s="52">
        <f t="shared" si="7"/>
        <v>0</v>
      </c>
      <c r="L62" s="53">
        <f t="shared" si="8"/>
        <v>0</v>
      </c>
      <c r="M62" s="55">
        <f>IF(Z62="NOTSYD",E62+L62-L$97+regcalc!P$114,E62+L62-L$97+regcalc!K$114)</f>
        <v>0.75109655756054905</v>
      </c>
      <c r="N62" s="56">
        <f t="shared" si="9"/>
        <v>1</v>
      </c>
      <c r="P62" t="str">
        <f t="shared" si="10"/>
        <v/>
      </c>
      <c r="Q62" t="str">
        <f t="shared" si="11"/>
        <v/>
      </c>
      <c r="R62" s="57">
        <f t="shared" si="12"/>
        <v>0.11810182241044988</v>
      </c>
      <c r="S62" s="56">
        <f t="shared" si="13"/>
        <v>0</v>
      </c>
      <c r="AB62">
        <v>0.108</v>
      </c>
      <c r="AC62">
        <v>0.67400000000000004</v>
      </c>
      <c r="AD62">
        <v>0.20200000000000001</v>
      </c>
      <c r="AF62" s="57">
        <f>AB62+IF($Z62="NOTSYD",regcalc!U$112*-0.5,regcalc!U$112*0.5)+output!E$4</f>
        <v>8.5657324840764382E-2</v>
      </c>
      <c r="AG62" s="57">
        <f>AC62+IF($Z62="NOTSYD",regcalc!T$112*-0.5,regcalc!T$112*0.5)+output!E$5</f>
        <v>0.75833149971048064</v>
      </c>
      <c r="AH62" s="57">
        <f>AD62+IF($Z62="NOTSYD",regcalc!V$112*-0.5,regcalc!V$112*0.5)+output!E$6</f>
        <v>0.19865049218297626</v>
      </c>
      <c r="AI62" s="57">
        <f t="shared" si="14"/>
        <v>-4.2639316734221389E-2</v>
      </c>
      <c r="AK62" s="57">
        <f t="shared" si="15"/>
        <v>8.2154320737742953E-2</v>
      </c>
      <c r="AL62" s="57">
        <f t="shared" si="2"/>
        <v>0.72731910982001313</v>
      </c>
      <c r="AM62" s="57">
        <f t="shared" si="3"/>
        <v>0.1905265694422438</v>
      </c>
      <c r="AN62" s="57">
        <f t="shared" si="16"/>
        <v>0</v>
      </c>
      <c r="AP62">
        <f>AK62+($AM62*prefs!B$2)+($AN62*prefs!C$2)</f>
        <v>0.11092383272352177</v>
      </c>
      <c r="AQ62">
        <f>AL62+($AM62*prefs!B$3)+($AN62*prefs!C$3)</f>
        <v>0.82829819162440232</v>
      </c>
      <c r="AR62">
        <f t="shared" si="17"/>
        <v>6.0777975652075877E-2</v>
      </c>
      <c r="AT62">
        <f t="shared" si="18"/>
        <v>0.11810182241044988</v>
      </c>
      <c r="AU62">
        <f t="shared" si="19"/>
        <v>0.88189817758955014</v>
      </c>
      <c r="AV62" s="56">
        <f t="shared" si="20"/>
        <v>0</v>
      </c>
      <c r="AX62">
        <f t="shared" si="21"/>
        <v>0.12151710998451053</v>
      </c>
      <c r="AY62">
        <f t="shared" si="22"/>
        <v>0.77329317102642658</v>
      </c>
      <c r="AZ62">
        <f t="shared" si="23"/>
        <v>0.10518971898906293</v>
      </c>
      <c r="BB62">
        <f t="shared" si="24"/>
        <v>0.13580209410113522</v>
      </c>
      <c r="BC62">
        <f t="shared" si="25"/>
        <v>0.8641979058988648</v>
      </c>
      <c r="BD62" s="74">
        <f t="shared" si="26"/>
        <v>0</v>
      </c>
    </row>
    <row r="63" spans="1:56" x14ac:dyDescent="0.25">
      <c r="A63" t="s">
        <v>90</v>
      </c>
      <c r="B63" t="s">
        <v>137</v>
      </c>
      <c r="C63">
        <v>0.77600000000000013</v>
      </c>
      <c r="E63">
        <f>C63+output!$E$10</f>
        <v>0.69274389079265231</v>
      </c>
      <c r="G63" t="s">
        <v>135</v>
      </c>
      <c r="H63" s="52">
        <f t="shared" si="4"/>
        <v>0</v>
      </c>
      <c r="I63" s="52">
        <f t="shared" si="5"/>
        <v>1</v>
      </c>
      <c r="J63" s="52">
        <f t="shared" si="6"/>
        <v>1</v>
      </c>
      <c r="K63" s="52">
        <f t="shared" si="7"/>
        <v>0</v>
      </c>
      <c r="L63" s="53">
        <f t="shared" si="8"/>
        <v>0</v>
      </c>
      <c r="M63" s="55">
        <f>IF(Z63="NOTSYD",E63+L63-L$97+regcalc!P$114,E63+L63-L$97+regcalc!K$114)</f>
        <v>0.79340539853206571</v>
      </c>
      <c r="N63" s="56">
        <f t="shared" si="9"/>
        <v>1</v>
      </c>
      <c r="P63" t="str">
        <f t="shared" si="10"/>
        <v/>
      </c>
      <c r="Q63" t="str">
        <f t="shared" si="11"/>
        <v/>
      </c>
      <c r="R63" s="57">
        <f t="shared" si="12"/>
        <v>0.58772365034898499</v>
      </c>
      <c r="S63" s="56">
        <f t="shared" si="13"/>
        <v>0.9983228788962748</v>
      </c>
      <c r="Z63" t="s">
        <v>138</v>
      </c>
      <c r="AB63">
        <v>0.35599999999999998</v>
      </c>
      <c r="AC63">
        <v>0.05</v>
      </c>
      <c r="AD63">
        <v>3.4000000000000002E-2</v>
      </c>
      <c r="AF63" s="57">
        <f>AB63+IF($Z63="NOTSYD",regcalc!U$112*-0.5,regcalc!U$112*0.5)+output!E$4</f>
        <v>0.26754267515923569</v>
      </c>
      <c r="AG63" s="57">
        <f>AC63+IF($Z63="NOTSYD",regcalc!T$112*-0.5,regcalc!T$112*0.5)+output!E$5</f>
        <v>0.13866850028951944</v>
      </c>
      <c r="AH63" s="57">
        <f>AD63+IF($Z63="NOTSYD",regcalc!V$112*-0.5,regcalc!V$112*0.5)+output!E$6</f>
        <v>3.7749507817023735E-2</v>
      </c>
      <c r="AI63" s="57">
        <f t="shared" si="14"/>
        <v>0.55603931673422113</v>
      </c>
      <c r="AK63" s="57">
        <f t="shared" si="15"/>
        <v>0.26754267515923569</v>
      </c>
      <c r="AL63" s="57">
        <f t="shared" si="2"/>
        <v>0.13866850028951944</v>
      </c>
      <c r="AM63" s="57">
        <f t="shared" si="3"/>
        <v>3.7749507817023735E-2</v>
      </c>
      <c r="AN63" s="57">
        <f t="shared" si="16"/>
        <v>0.55603931673422113</v>
      </c>
      <c r="AP63">
        <f>AK63+($AM63*prefs!B$2)+($AN63*prefs!C$2)</f>
        <v>0.38750893042848872</v>
      </c>
      <c r="AQ63">
        <f>AL63+($AM63*prefs!B$3)+($AN63*prefs!C$3)</f>
        <v>0.27182974038795604</v>
      </c>
      <c r="AR63">
        <f t="shared" si="17"/>
        <v>0.34066132918355518</v>
      </c>
      <c r="AT63">
        <f t="shared" si="18"/>
        <v>0.58772365034898499</v>
      </c>
      <c r="AU63">
        <f t="shared" si="19"/>
        <v>0.41227634965101495</v>
      </c>
      <c r="AV63" s="56">
        <f t="shared" si="20"/>
        <v>0.9983228788962748</v>
      </c>
      <c r="AX63">
        <f t="shared" si="21"/>
        <v>0.39021944631152289</v>
      </c>
      <c r="AY63">
        <f t="shared" si="22"/>
        <v>0.28194974365373482</v>
      </c>
      <c r="AZ63">
        <f t="shared" si="23"/>
        <v>0.32783081003474224</v>
      </c>
      <c r="BB63">
        <f t="shared" si="24"/>
        <v>0.58053753747875902</v>
      </c>
      <c r="BC63">
        <f t="shared" si="25"/>
        <v>0.41946246252124092</v>
      </c>
      <c r="BD63" s="74">
        <f t="shared" si="26"/>
        <v>0.99645910158104289</v>
      </c>
    </row>
    <row r="64" spans="1:56" x14ac:dyDescent="0.25">
      <c r="A64" t="s">
        <v>91</v>
      </c>
      <c r="B64" t="s">
        <v>3</v>
      </c>
      <c r="C64">
        <v>0.53800000000000003</v>
      </c>
      <c r="E64">
        <f>C64+output!$E$10</f>
        <v>0.45474389079265221</v>
      </c>
      <c r="G64" t="s">
        <v>135</v>
      </c>
      <c r="H64" s="52">
        <f t="shared" si="4"/>
        <v>0</v>
      </c>
      <c r="I64" s="52">
        <f t="shared" si="5"/>
        <v>1</v>
      </c>
      <c r="J64" s="52">
        <f t="shared" si="6"/>
        <v>1</v>
      </c>
      <c r="K64" s="52">
        <f t="shared" si="7"/>
        <v>1</v>
      </c>
      <c r="L64" s="53">
        <f t="shared" si="8"/>
        <v>2.1999999999999999E-2</v>
      </c>
      <c r="M64" s="55">
        <f>IF(Z64="NOTSYD",E64+L64-L$97+regcalc!P$114,E64+L64-L$97+regcalc!K$114)</f>
        <v>0.50709655756054905</v>
      </c>
      <c r="N64" s="56">
        <f t="shared" si="9"/>
        <v>0.59378450838950458</v>
      </c>
      <c r="P64" t="str">
        <f t="shared" si="10"/>
        <v>X</v>
      </c>
      <c r="Q64" t="str">
        <f t="shared" si="11"/>
        <v/>
      </c>
      <c r="R64" s="57">
        <f t="shared" si="12"/>
        <v>0.47037872436772638</v>
      </c>
      <c r="S64" s="56">
        <f t="shared" si="13"/>
        <v>0.16097438933557262</v>
      </c>
      <c r="AB64">
        <v>0.47099999999999997</v>
      </c>
      <c r="AC64">
        <v>0.39</v>
      </c>
      <c r="AD64">
        <v>8.8999999999999996E-2</v>
      </c>
      <c r="AF64" s="57">
        <f>AB64+IF($Z64="NOTSYD",regcalc!U$112*-0.5,regcalc!U$112*0.5)+output!E$4</f>
        <v>0.44865732484076432</v>
      </c>
      <c r="AG64" s="57">
        <f>AC64+IF($Z64="NOTSYD",regcalc!T$112*-0.5,regcalc!T$112*0.5)+output!E$5</f>
        <v>0.47433149971048061</v>
      </c>
      <c r="AH64" s="57">
        <f>AD64+IF($Z64="NOTSYD",regcalc!V$112*-0.5,regcalc!V$112*0.5)+output!E$6</f>
        <v>8.565049218297624E-2</v>
      </c>
      <c r="AI64" s="57">
        <f t="shared" si="14"/>
        <v>-8.6393167342211363E-3</v>
      </c>
      <c r="AK64" s="57">
        <f t="shared" si="15"/>
        <v>0.44481443207412324</v>
      </c>
      <c r="AL64" s="57">
        <f t="shared" si="2"/>
        <v>0.47026869946560695</v>
      </c>
      <c r="AM64" s="57">
        <f t="shared" si="3"/>
        <v>8.4916868460269773E-2</v>
      </c>
      <c r="AN64" s="57">
        <f t="shared" si="16"/>
        <v>0</v>
      </c>
      <c r="AP64">
        <f>AK64+($AM64*prefs!B$2)+($AN64*prefs!C$2)</f>
        <v>0.45763687921162399</v>
      </c>
      <c r="AQ64">
        <f>AL64+($AM64*prefs!B$3)+($AN64*prefs!C$3)</f>
        <v>0.5152746397495499</v>
      </c>
      <c r="AR64">
        <f t="shared" si="17"/>
        <v>2.7088481038826107E-2</v>
      </c>
      <c r="AT64">
        <f t="shared" si="18"/>
        <v>0.47037872436772638</v>
      </c>
      <c r="AU64">
        <f t="shared" si="19"/>
        <v>0.52962127563227368</v>
      </c>
      <c r="AV64" s="56">
        <f t="shared" si="20"/>
        <v>0.16097438933557262</v>
      </c>
      <c r="AX64">
        <f t="shared" si="21"/>
        <v>0.46235825709801498</v>
      </c>
      <c r="AY64">
        <f t="shared" si="22"/>
        <v>0.49075913982507002</v>
      </c>
      <c r="AZ64">
        <f t="shared" si="23"/>
        <v>4.6882603076914942E-2</v>
      </c>
      <c r="BB64">
        <f t="shared" si="24"/>
        <v>0.48510105742548576</v>
      </c>
      <c r="BC64">
        <f t="shared" si="25"/>
        <v>0.51489894257451418</v>
      </c>
      <c r="BD64" s="74">
        <f t="shared" si="26"/>
        <v>0.30917744192070695</v>
      </c>
    </row>
    <row r="65" spans="1:56" x14ac:dyDescent="0.25">
      <c r="A65" t="s">
        <v>92</v>
      </c>
      <c r="B65" t="s">
        <v>3</v>
      </c>
      <c r="C65">
        <v>0.77100000000000013</v>
      </c>
      <c r="E65">
        <f>C65+output!$E$10</f>
        <v>0.6877438907926523</v>
      </c>
      <c r="G65" t="s">
        <v>126</v>
      </c>
      <c r="H65" s="52">
        <f t="shared" si="4"/>
        <v>0</v>
      </c>
      <c r="I65" s="52">
        <f t="shared" si="5"/>
        <v>0</v>
      </c>
      <c r="J65" s="52">
        <f t="shared" si="6"/>
        <v>0</v>
      </c>
      <c r="K65" s="52">
        <f t="shared" si="7"/>
        <v>0</v>
      </c>
      <c r="L65" s="53">
        <f t="shared" si="8"/>
        <v>0</v>
      </c>
      <c r="M65" s="55">
        <f>IF(Z65="NOTSYD",E65+L65-L$97+regcalc!P$114,E65+L65-L$97+regcalc!K$114)</f>
        <v>0.7884053985320657</v>
      </c>
      <c r="N65" s="56">
        <f t="shared" si="9"/>
        <v>1</v>
      </c>
      <c r="P65" t="str">
        <f t="shared" si="10"/>
        <v/>
      </c>
      <c r="Q65" t="str">
        <f t="shared" si="11"/>
        <v/>
      </c>
      <c r="R65" s="57">
        <f t="shared" si="12"/>
        <v>0.65622385561516305</v>
      </c>
      <c r="S65" s="56">
        <f t="shared" si="13"/>
        <v>0.99999991232455976</v>
      </c>
      <c r="Z65" t="s">
        <v>138</v>
      </c>
      <c r="AB65">
        <v>0.57199999999999995</v>
      </c>
      <c r="AC65">
        <v>0.11799999999999999</v>
      </c>
      <c r="AD65">
        <v>4.3999999999999997E-2</v>
      </c>
      <c r="AF65" s="57">
        <f>AB65+IF($Z65="NOTSYD",regcalc!U$112*-0.5,regcalc!U$112*0.5)+output!E$4</f>
        <v>0.48354267515923571</v>
      </c>
      <c r="AG65" s="57">
        <f>AC65+IF($Z65="NOTSYD",regcalc!T$112*-0.5,regcalc!T$112*0.5)+output!E$5</f>
        <v>0.20666850028951941</v>
      </c>
      <c r="AH65" s="57">
        <f>AD65+IF($Z65="NOTSYD",regcalc!V$112*-0.5,regcalc!V$112*0.5)+output!E$6</f>
        <v>4.774950781702373E-2</v>
      </c>
      <c r="AI65" s="57">
        <f t="shared" si="14"/>
        <v>0.26203931673422121</v>
      </c>
      <c r="AK65" s="57">
        <f t="shared" si="15"/>
        <v>0.48354267515923571</v>
      </c>
      <c r="AL65" s="57">
        <f t="shared" si="2"/>
        <v>0.20666850028951941</v>
      </c>
      <c r="AM65" s="57">
        <f t="shared" si="3"/>
        <v>4.774950781702373E-2</v>
      </c>
      <c r="AN65" s="57">
        <f t="shared" si="16"/>
        <v>0.26203931673422121</v>
      </c>
      <c r="AP65">
        <f>AK65+($AM65*prefs!B$2)+($AN65*prefs!C$2)</f>
        <v>0.54460193042848881</v>
      </c>
      <c r="AQ65">
        <f>AL65+($AM65*prefs!B$3)+($AN65*prefs!C$3)</f>
        <v>0.285300740387956</v>
      </c>
      <c r="AR65">
        <f t="shared" si="17"/>
        <v>0.17009732918355525</v>
      </c>
      <c r="AT65">
        <f t="shared" si="18"/>
        <v>0.65622385561516305</v>
      </c>
      <c r="AU65">
        <f t="shared" si="19"/>
        <v>0.34377614438483706</v>
      </c>
      <c r="AV65" s="56">
        <f t="shared" si="20"/>
        <v>0.99999991232455976</v>
      </c>
      <c r="AX65">
        <f t="shared" si="21"/>
        <v>0.5475450463115229</v>
      </c>
      <c r="AY65">
        <f t="shared" si="22"/>
        <v>0.28142054365373481</v>
      </c>
      <c r="AZ65">
        <f t="shared" si="23"/>
        <v>0.17103441003474229</v>
      </c>
      <c r="BB65">
        <f t="shared" si="24"/>
        <v>0.66051601289562667</v>
      </c>
      <c r="BC65">
        <f t="shared" si="25"/>
        <v>0.33948398710437339</v>
      </c>
      <c r="BD65" s="74">
        <f t="shared" si="26"/>
        <v>0.99999996002749414</v>
      </c>
    </row>
    <row r="66" spans="1:56" x14ac:dyDescent="0.25">
      <c r="A66" t="s">
        <v>93</v>
      </c>
      <c r="B66" t="s">
        <v>3</v>
      </c>
      <c r="C66">
        <v>0.78799999999999992</v>
      </c>
      <c r="E66">
        <f>C66+output!$E$10</f>
        <v>0.70474389079265209</v>
      </c>
      <c r="G66" t="s">
        <v>136</v>
      </c>
      <c r="H66" s="52">
        <f t="shared" si="4"/>
        <v>1</v>
      </c>
      <c r="I66" s="52">
        <f t="shared" si="5"/>
        <v>0</v>
      </c>
      <c r="J66" s="52">
        <f t="shared" si="6"/>
        <v>0</v>
      </c>
      <c r="K66" s="52">
        <f t="shared" si="7"/>
        <v>0</v>
      </c>
      <c r="L66" s="53">
        <f t="shared" si="8"/>
        <v>-0.01</v>
      </c>
      <c r="M66" s="55">
        <f>IF(Z66="NOTSYD",E66+L66-L$97+regcalc!P$114,E66+L66-L$97+regcalc!K$114)</f>
        <v>0.79540539853206549</v>
      </c>
      <c r="N66" s="56">
        <f t="shared" si="9"/>
        <v>1</v>
      </c>
      <c r="P66" t="str">
        <f t="shared" si="10"/>
        <v/>
      </c>
      <c r="Q66" t="str">
        <f t="shared" si="11"/>
        <v/>
      </c>
      <c r="R66" s="57">
        <f t="shared" si="12"/>
        <v>0.67362796082152787</v>
      </c>
      <c r="S66" s="56">
        <f t="shared" si="13"/>
        <v>0.99999999679479923</v>
      </c>
      <c r="Z66" t="s">
        <v>138</v>
      </c>
      <c r="AB66">
        <v>0.66800000000000004</v>
      </c>
      <c r="AC66">
        <v>0.126</v>
      </c>
      <c r="AD66">
        <v>0.123</v>
      </c>
      <c r="AF66" s="57">
        <f>AB66+IF($Z66="NOTSYD",regcalc!U$112*-0.5,regcalc!U$112*0.5)+output!E$4</f>
        <v>0.57954267515923585</v>
      </c>
      <c r="AG66" s="57">
        <f>AC66+IF($Z66="NOTSYD",regcalc!T$112*-0.5,regcalc!T$112*0.5)+output!E$5</f>
        <v>0.21466850028951942</v>
      </c>
      <c r="AH66" s="57">
        <f>AD66+IF($Z66="NOTSYD",regcalc!V$112*-0.5,regcalc!V$112*0.5)+output!E$6</f>
        <v>0.12674950781702371</v>
      </c>
      <c r="AI66" s="57">
        <f t="shared" si="14"/>
        <v>7.9039316734220932E-2</v>
      </c>
      <c r="AK66" s="57">
        <f t="shared" si="15"/>
        <v>0.57954267515923585</v>
      </c>
      <c r="AL66" s="57">
        <f t="shared" si="2"/>
        <v>0.21466850028951942</v>
      </c>
      <c r="AM66" s="57">
        <f t="shared" si="3"/>
        <v>0.12674950781702371</v>
      </c>
      <c r="AN66" s="57">
        <f t="shared" si="16"/>
        <v>7.9039316734220932E-2</v>
      </c>
      <c r="AP66">
        <f>AK66+($AM66*prefs!B$2)+($AN66*prefs!C$2)</f>
        <v>0.61492443042848888</v>
      </c>
      <c r="AQ66">
        <f>AL66+($AM66*prefs!B$3)+($AN66*prefs!C$3)</f>
        <v>0.29793024038795596</v>
      </c>
      <c r="AR66">
        <f t="shared" si="17"/>
        <v>8.7145329183555109E-2</v>
      </c>
      <c r="AT66">
        <f t="shared" si="18"/>
        <v>0.67362796082152787</v>
      </c>
      <c r="AU66">
        <f t="shared" si="19"/>
        <v>0.32637203917847207</v>
      </c>
      <c r="AV66" s="56">
        <f t="shared" si="20"/>
        <v>0.99999999679479923</v>
      </c>
      <c r="AX66">
        <f t="shared" si="21"/>
        <v>0.62205864631152297</v>
      </c>
      <c r="AY66">
        <f t="shared" si="22"/>
        <v>0.26432534365373472</v>
      </c>
      <c r="AZ66">
        <f t="shared" si="23"/>
        <v>0.11361601003474231</v>
      </c>
      <c r="BB66">
        <f t="shared" si="24"/>
        <v>0.70179363949918017</v>
      </c>
      <c r="BC66">
        <f t="shared" si="25"/>
        <v>0.29820636050081983</v>
      </c>
      <c r="BD66" s="74">
        <f t="shared" si="26"/>
        <v>0.99999999999247791</v>
      </c>
    </row>
    <row r="67" spans="1:56" x14ac:dyDescent="0.25">
      <c r="A67" t="s">
        <v>94</v>
      </c>
      <c r="B67" t="s">
        <v>3</v>
      </c>
      <c r="C67">
        <v>0.625</v>
      </c>
      <c r="E67">
        <f>C67+output!$E$10</f>
        <v>0.54174389079265217</v>
      </c>
      <c r="G67" t="s">
        <v>135</v>
      </c>
      <c r="H67" s="52">
        <f t="shared" si="4"/>
        <v>0</v>
      </c>
      <c r="I67" s="52">
        <f t="shared" si="5"/>
        <v>1</v>
      </c>
      <c r="J67" s="52">
        <f t="shared" si="6"/>
        <v>1</v>
      </c>
      <c r="K67" s="52">
        <f t="shared" si="7"/>
        <v>1</v>
      </c>
      <c r="L67" s="53">
        <f t="shared" si="8"/>
        <v>2.1999999999999999E-2</v>
      </c>
      <c r="M67" s="55">
        <f>IF(Z67="NOTSYD",E67+L67-L$97+regcalc!P$114,E67+L67-L$97+regcalc!K$114)</f>
        <v>0.59409655756054902</v>
      </c>
      <c r="N67" s="56">
        <f t="shared" si="9"/>
        <v>0.99917339765467417</v>
      </c>
      <c r="P67" t="str">
        <f t="shared" si="10"/>
        <v/>
      </c>
      <c r="Q67" t="str">
        <f t="shared" si="11"/>
        <v/>
      </c>
      <c r="R67" s="57">
        <f t="shared" si="12"/>
        <v>0.53970359778044352</v>
      </c>
      <c r="S67" s="56">
        <f t="shared" si="13"/>
        <v>0.90784298765026161</v>
      </c>
      <c r="AB67">
        <v>0.48499999999999999</v>
      </c>
      <c r="AC67">
        <v>0.27400000000000002</v>
      </c>
      <c r="AD67">
        <v>8.6999999999999994E-2</v>
      </c>
      <c r="AF67" s="57">
        <f>AB67+IF($Z67="NOTSYD",regcalc!U$112*-0.5,regcalc!U$112*0.5)+output!E$4</f>
        <v>0.46265732484076433</v>
      </c>
      <c r="AG67" s="57">
        <f>AC67+IF($Z67="NOTSYD",regcalc!T$112*-0.5,regcalc!T$112*0.5)+output!E$5</f>
        <v>0.35833149971048062</v>
      </c>
      <c r="AH67" s="57">
        <f>AD67+IF($Z67="NOTSYD",regcalc!V$112*-0.5,regcalc!V$112*0.5)+output!E$6</f>
        <v>8.3650492182976238E-2</v>
      </c>
      <c r="AI67" s="57">
        <f t="shared" si="14"/>
        <v>9.5360683265778845E-2</v>
      </c>
      <c r="AK67" s="57">
        <f t="shared" si="15"/>
        <v>0.46265732484076433</v>
      </c>
      <c r="AL67" s="57">
        <f t="shared" ref="AL67:AL95" si="27">IF($AI67&lt;0,AG67/SUM($AF67:$AH67),AG67)</f>
        <v>0.35833149971048062</v>
      </c>
      <c r="AM67" s="57">
        <f t="shared" ref="AM67:AM95" si="28">IF($AI67&lt;0,AH67/SUM($AF67:$AH67),AH67)</f>
        <v>8.3650492182976238E-2</v>
      </c>
      <c r="AN67" s="57">
        <f t="shared" si="16"/>
        <v>9.5360683265778845E-2</v>
      </c>
      <c r="AP67">
        <f>AK67+($AM67*prefs!B$2)+($AN67*prefs!C$2)</f>
        <v>0.4948851695715113</v>
      </c>
      <c r="AQ67">
        <f>AL67+($AM67*prefs!B$3)+($AN67*prefs!C$3)</f>
        <v>0.42207215961204403</v>
      </c>
      <c r="AR67">
        <f t="shared" si="17"/>
        <v>8.3042670816444675E-2</v>
      </c>
      <c r="AT67">
        <f t="shared" si="18"/>
        <v>0.53970359778044352</v>
      </c>
      <c r="AU67">
        <f t="shared" si="19"/>
        <v>0.46029640221955648</v>
      </c>
      <c r="AV67" s="56">
        <f t="shared" si="20"/>
        <v>0.90784298765026161</v>
      </c>
      <c r="AX67">
        <f t="shared" si="21"/>
        <v>0.49964103368847712</v>
      </c>
      <c r="AY67">
        <f t="shared" si="22"/>
        <v>0.40152689634626521</v>
      </c>
      <c r="AZ67">
        <f t="shared" si="23"/>
        <v>9.8832069965257618E-2</v>
      </c>
      <c r="BB67">
        <f t="shared" si="24"/>
        <v>0.55443721090830944</v>
      </c>
      <c r="BC67">
        <f t="shared" si="25"/>
        <v>0.4455627890916905</v>
      </c>
      <c r="BD67" s="74">
        <f t="shared" si="26"/>
        <v>0.96563905241767523</v>
      </c>
    </row>
    <row r="68" spans="1:56" x14ac:dyDescent="0.25">
      <c r="A68" t="s">
        <v>95</v>
      </c>
      <c r="B68" t="s">
        <v>3</v>
      </c>
      <c r="C68">
        <v>0.66100000000000003</v>
      </c>
      <c r="E68">
        <f>C68+output!$E$10</f>
        <v>0.5777438907926522</v>
      </c>
      <c r="G68" t="s">
        <v>126</v>
      </c>
      <c r="H68" s="52">
        <f t="shared" ref="H68:H95" si="29">IF(G68="ALPVAC",1,IF(G68="LNPVAC",1,0))</f>
        <v>0</v>
      </c>
      <c r="I68" s="52">
        <f t="shared" ref="I68:I95" si="30">IF(G68="ALPSOPWIN",1,IF(G68="LNPSOPWIN",1,0))</f>
        <v>0</v>
      </c>
      <c r="J68" s="52">
        <f t="shared" ref="J68:J95" si="31">IF(G68="ALPSOPWIN",1,IF(G68="LNPSOPWIN",1,0))</f>
        <v>0</v>
      </c>
      <c r="K68" s="52">
        <f t="shared" ref="K68:K95" si="32">IF(J68=1,IF(Z68="NOTSYD",0,1),0)</f>
        <v>0</v>
      </c>
      <c r="L68" s="53">
        <f t="shared" ref="L68:L95" si="33">IF(B68="LNP",(-0.01*H68)+(0.009*I68)+(0.005*J68)+(0.008*K68),IF(B68="ALP",0-((-0.01*H68)+(0.009*I68)+(0.005*J68)+(0.008*K68)),0))</f>
        <v>0</v>
      </c>
      <c r="M68" s="55">
        <f>IF(Z68="NOTSYD",E68+L68-L$97+regcalc!P$114,E68+L68-L$97+regcalc!K$114)</f>
        <v>0.60809655756054903</v>
      </c>
      <c r="N68" s="56">
        <f t="shared" ref="N68:N95" si="34">(1-(NORMDIST(0.5,M68,P$1,1)))</f>
        <v>0.99984952311019537</v>
      </c>
      <c r="P68" t="str">
        <f t="shared" ref="P68:P95" si="35">IF(M68&gt;0.5,IF(M68&lt;0.54,"X",""),"")</f>
        <v/>
      </c>
      <c r="Q68" t="str">
        <f t="shared" ref="Q68:Q95" si="36">IF(M68&lt;0.5,IF(M68&gt;0.45,"X",""),"")</f>
        <v/>
      </c>
      <c r="R68" s="57">
        <f t="shared" ref="R68:R95" si="37">AT68</f>
        <v>0.57645565848125924</v>
      </c>
      <c r="S68" s="56">
        <f t="shared" ref="S68:S95" si="38">(1-(NORMDIST(0.5,R68,P$1,1)))</f>
        <v>0.99471322421753539</v>
      </c>
      <c r="AB68">
        <v>0.54400000000000004</v>
      </c>
      <c r="AC68">
        <v>0.25900000000000001</v>
      </c>
      <c r="AD68">
        <v>9.2999999999999999E-2</v>
      </c>
      <c r="AF68" s="57">
        <f>AB68+IF($Z68="NOTSYD",regcalc!U$112*-0.5,regcalc!U$112*0.5)+output!E$4</f>
        <v>0.52165732484076432</v>
      </c>
      <c r="AG68" s="57">
        <f>AC68+IF($Z68="NOTSYD",regcalc!T$112*-0.5,regcalc!T$112*0.5)+output!E$5</f>
        <v>0.3433314997104806</v>
      </c>
      <c r="AH68" s="57">
        <f>AD68+IF($Z68="NOTSYD",regcalc!V$112*-0.5,regcalc!V$112*0.5)+output!E$6</f>
        <v>8.9650492182976244E-2</v>
      </c>
      <c r="AI68" s="57">
        <f t="shared" ref="AI68:AI95" si="39">1-SUM(AF68:AH68)</f>
        <v>4.5360683265778801E-2</v>
      </c>
      <c r="AK68" s="57">
        <f t="shared" ref="AK68:AK95" si="40">IF($AI68&lt;0,AF68/SUM($AF68:$AH68),AF68)</f>
        <v>0.52165732484076432</v>
      </c>
      <c r="AL68" s="57">
        <f t="shared" si="27"/>
        <v>0.3433314997104806</v>
      </c>
      <c r="AM68" s="57">
        <f t="shared" si="28"/>
        <v>8.9650492182976244E-2</v>
      </c>
      <c r="AN68" s="57">
        <f t="shared" ref="AN68:AN95" si="41">1-SUM(AK68:AM68)</f>
        <v>4.5360683265778801E-2</v>
      </c>
      <c r="AP68">
        <f>AK68+($AM68*prefs!B$2)+($AN68*prefs!C$2)</f>
        <v>0.54451616957151128</v>
      </c>
      <c r="AQ68">
        <f>AL68+($AM68*prefs!B$3)+($AN68*prefs!C$3)</f>
        <v>0.40007715961204399</v>
      </c>
      <c r="AR68">
        <f t="shared" ref="AR68:AR95" si="42">1-(AP68+AQ68)</f>
        <v>5.5406670816444681E-2</v>
      </c>
      <c r="AT68">
        <f t="shared" ref="AT68:AT95" si="43">AP68/(AP68+AQ68)</f>
        <v>0.57645565848125924</v>
      </c>
      <c r="AU68">
        <f t="shared" ref="AU68:AU95" si="44">AQ68/(AP68+AQ68)</f>
        <v>0.42354434151874065</v>
      </c>
      <c r="AV68" s="56">
        <f t="shared" ref="AV68:AV95" si="45">(1-(NORMDIST(0.5,AT68,P$1,1)))</f>
        <v>0.99471322421753539</v>
      </c>
      <c r="AX68">
        <f t="shared" ref="AX68:AX95" si="46">AK68+(($AM68+$AN68)*0.2066)</f>
        <v>0.54955063368847712</v>
      </c>
      <c r="AY68">
        <f t="shared" ref="AY68:AY95" si="47">AL68+(($AM68+$AN68)*0.2413)</f>
        <v>0.3759096963462652</v>
      </c>
      <c r="AZ68">
        <f t="shared" ref="AZ68:AZ95" si="48">1-(AX68+AY68)</f>
        <v>7.4539669965257627E-2</v>
      </c>
      <c r="BB68">
        <f t="shared" ref="BB68:BB95" si="49">AX68/(AX68+AY68)</f>
        <v>0.59381327956850039</v>
      </c>
      <c r="BC68">
        <f t="shared" ref="BC68:BC95" si="50">AY68/(AX68+AY68)</f>
        <v>0.40618672043149956</v>
      </c>
      <c r="BD68" s="74">
        <f t="shared" ref="BD68:BD95" si="51">(1-(NORMDIST(0.5,BB68,P$1,1)))</f>
        <v>0.99914622195236757</v>
      </c>
    </row>
    <row r="69" spans="1:56" x14ac:dyDescent="0.25">
      <c r="A69" t="s">
        <v>96</v>
      </c>
      <c r="B69" t="s">
        <v>3</v>
      </c>
      <c r="C69">
        <v>0.84499999999999997</v>
      </c>
      <c r="E69">
        <f>C69+output!$E$10</f>
        <v>0.76174389079265215</v>
      </c>
      <c r="G69" t="s">
        <v>126</v>
      </c>
      <c r="H69" s="52">
        <f t="shared" si="29"/>
        <v>0</v>
      </c>
      <c r="I69" s="52">
        <f t="shared" si="30"/>
        <v>0</v>
      </c>
      <c r="J69" s="52">
        <f t="shared" si="31"/>
        <v>0</v>
      </c>
      <c r="K69" s="52">
        <f t="shared" si="32"/>
        <v>0</v>
      </c>
      <c r="L69" s="53">
        <f t="shared" si="33"/>
        <v>0</v>
      </c>
      <c r="M69" s="55">
        <f>IF(Z69="NOTSYD",E69+L69-L$97+regcalc!P$114,E69+L69-L$97+regcalc!K$114)</f>
        <v>0.79209655756054898</v>
      </c>
      <c r="N69" s="56">
        <f t="shared" si="34"/>
        <v>1</v>
      </c>
      <c r="P69" t="str">
        <f t="shared" si="35"/>
        <v/>
      </c>
      <c r="Q69" t="str">
        <f t="shared" si="36"/>
        <v/>
      </c>
      <c r="R69" s="57">
        <f t="shared" si="37"/>
        <v>0.73418142663534669</v>
      </c>
      <c r="S69" s="56">
        <f t="shared" si="38"/>
        <v>0.99999999999999756</v>
      </c>
      <c r="AB69">
        <v>0.72</v>
      </c>
      <c r="AC69">
        <v>0.09</v>
      </c>
      <c r="AD69">
        <v>0.16800000000000001</v>
      </c>
      <c r="AF69" s="57">
        <f>AB69+IF($Z69="NOTSYD",regcalc!U$112*-0.5,regcalc!U$112*0.5)+output!E$4</f>
        <v>0.69765732484076426</v>
      </c>
      <c r="AG69" s="57">
        <f>AC69+IF($Z69="NOTSYD",regcalc!T$112*-0.5,regcalc!T$112*0.5)+output!E$5</f>
        <v>0.17433149971048062</v>
      </c>
      <c r="AH69" s="57">
        <f>AD69+IF($Z69="NOTSYD",regcalc!V$112*-0.5,regcalc!V$112*0.5)+output!E$6</f>
        <v>0.16465049218297628</v>
      </c>
      <c r="AI69" s="57">
        <f t="shared" si="39"/>
        <v>-3.6639316734221161E-2</v>
      </c>
      <c r="AK69" s="57">
        <f t="shared" si="40"/>
        <v>0.67299909773693556</v>
      </c>
      <c r="AL69" s="57">
        <f t="shared" si="27"/>
        <v>0.16816987055795474</v>
      </c>
      <c r="AM69" s="57">
        <f t="shared" si="28"/>
        <v>0.15883103170510965</v>
      </c>
      <c r="AN69" s="57">
        <f t="shared" si="41"/>
        <v>0</v>
      </c>
      <c r="AP69">
        <f>AK69+($AM69*prefs!B$2)+($AN69*prefs!C$2)</f>
        <v>0.69698258352440712</v>
      </c>
      <c r="AQ69">
        <f>AL69+($AM69*prefs!B$3)+($AN69*prefs!C$3)</f>
        <v>0.25235031736166286</v>
      </c>
      <c r="AR69">
        <f t="shared" si="42"/>
        <v>5.066709911392997E-2</v>
      </c>
      <c r="AT69">
        <f t="shared" si="43"/>
        <v>0.73418142663534669</v>
      </c>
      <c r="AU69">
        <f t="shared" si="44"/>
        <v>0.2658185733646532</v>
      </c>
      <c r="AV69" s="56">
        <f t="shared" si="45"/>
        <v>0.99999999999999756</v>
      </c>
      <c r="AX69">
        <f t="shared" si="46"/>
        <v>0.70581358888721124</v>
      </c>
      <c r="AY69">
        <f t="shared" si="47"/>
        <v>0.20649579850839769</v>
      </c>
      <c r="AZ69">
        <f t="shared" si="48"/>
        <v>8.7690612604391038E-2</v>
      </c>
      <c r="BB69">
        <f t="shared" si="49"/>
        <v>0.7736559533845353</v>
      </c>
      <c r="BC69">
        <f t="shared" si="50"/>
        <v>0.22634404661546462</v>
      </c>
      <c r="BD69" s="74">
        <f t="shared" si="51"/>
        <v>1</v>
      </c>
    </row>
    <row r="70" spans="1:56" x14ac:dyDescent="0.25">
      <c r="A70" t="s">
        <v>97</v>
      </c>
      <c r="B70" t="s">
        <v>3</v>
      </c>
      <c r="C70">
        <v>0.78799999999999992</v>
      </c>
      <c r="E70">
        <f>C70+output!$E$10</f>
        <v>0.70474389079265209</v>
      </c>
      <c r="G70" t="s">
        <v>135</v>
      </c>
      <c r="H70" s="52">
        <f t="shared" si="29"/>
        <v>0</v>
      </c>
      <c r="I70" s="52">
        <f t="shared" si="30"/>
        <v>1</v>
      </c>
      <c r="J70" s="52">
        <f t="shared" si="31"/>
        <v>1</v>
      </c>
      <c r="K70" s="52">
        <f t="shared" si="32"/>
        <v>0</v>
      </c>
      <c r="L70" s="53">
        <f t="shared" si="33"/>
        <v>1.3999999999999999E-2</v>
      </c>
      <c r="M70" s="55">
        <f>IF(Z70="NOTSYD",E70+L70-L$97+regcalc!P$114,E70+L70-L$97+regcalc!K$114)</f>
        <v>0.81940539853206551</v>
      </c>
      <c r="N70" s="56">
        <f t="shared" si="34"/>
        <v>1</v>
      </c>
      <c r="P70" t="str">
        <f t="shared" si="35"/>
        <v/>
      </c>
      <c r="Q70" t="str">
        <f t="shared" si="36"/>
        <v/>
      </c>
      <c r="R70" s="57">
        <f t="shared" si="37"/>
        <v>0.68019481172560192</v>
      </c>
      <c r="S70" s="56">
        <f t="shared" si="38"/>
        <v>0.99999999915582238</v>
      </c>
      <c r="Z70" t="s">
        <v>138</v>
      </c>
      <c r="AB70">
        <v>0.52400000000000002</v>
      </c>
      <c r="AC70">
        <v>5.7000000000000002E-2</v>
      </c>
      <c r="AD70">
        <v>3.6999999999999998E-2</v>
      </c>
      <c r="AF70" s="57">
        <f>AB70+IF($Z70="NOTSYD",regcalc!U$112*-0.5,regcalc!U$112*0.5)+output!E$4</f>
        <v>0.43554267515923573</v>
      </c>
      <c r="AG70" s="57">
        <f>AC70+IF($Z70="NOTSYD",regcalc!T$112*-0.5,regcalc!T$112*0.5)+output!E$5</f>
        <v>0.14566850028951941</v>
      </c>
      <c r="AH70" s="57">
        <f>AD70+IF($Z70="NOTSYD",regcalc!V$112*-0.5,regcalc!V$112*0.5)+output!E$6</f>
        <v>4.0749507817023731E-2</v>
      </c>
      <c r="AI70" s="57">
        <f t="shared" si="39"/>
        <v>0.3780393167342212</v>
      </c>
      <c r="AK70" s="57">
        <f t="shared" si="40"/>
        <v>0.43554267515923573</v>
      </c>
      <c r="AL70" s="57">
        <f t="shared" si="27"/>
        <v>0.14566850028951941</v>
      </c>
      <c r="AM70" s="57">
        <f t="shared" si="28"/>
        <v>4.0749507817023731E-2</v>
      </c>
      <c r="AN70" s="57">
        <f t="shared" si="41"/>
        <v>0.3780393167342212</v>
      </c>
      <c r="AP70">
        <f>AK70+($AM70*prefs!B$2)+($AN70*prefs!C$2)</f>
        <v>0.51938293042848882</v>
      </c>
      <c r="AQ70">
        <f>AL70+($AM70*prefs!B$3)+($AN70*prefs!C$3)</f>
        <v>0.24419674038795602</v>
      </c>
      <c r="AR70">
        <f t="shared" si="42"/>
        <v>0.23642032918355516</v>
      </c>
      <c r="AT70">
        <f t="shared" si="43"/>
        <v>0.68019481172560192</v>
      </c>
      <c r="AU70">
        <f t="shared" si="44"/>
        <v>0.31980518827439802</v>
      </c>
      <c r="AV70" s="56">
        <f t="shared" si="45"/>
        <v>0.99999999915582238</v>
      </c>
      <c r="AX70">
        <f t="shared" si="46"/>
        <v>0.52206444631152293</v>
      </c>
      <c r="AY70">
        <f t="shared" si="47"/>
        <v>0.2467222436537348</v>
      </c>
      <c r="AZ70">
        <f t="shared" si="48"/>
        <v>0.23121331003474221</v>
      </c>
      <c r="BB70">
        <f t="shared" si="49"/>
        <v>0.67907581273957218</v>
      </c>
      <c r="BC70">
        <f t="shared" si="50"/>
        <v>0.32092418726042776</v>
      </c>
      <c r="BD70" s="74">
        <f t="shared" si="51"/>
        <v>0.99999999893680769</v>
      </c>
    </row>
    <row r="71" spans="1:56" x14ac:dyDescent="0.25">
      <c r="A71" t="s">
        <v>98</v>
      </c>
      <c r="B71" t="s">
        <v>3</v>
      </c>
      <c r="C71">
        <v>0.64700000000000002</v>
      </c>
      <c r="E71">
        <f>C71+output!$E$10</f>
        <v>0.56374389079265219</v>
      </c>
      <c r="G71" t="s">
        <v>136</v>
      </c>
      <c r="H71" s="52">
        <f t="shared" si="29"/>
        <v>1</v>
      </c>
      <c r="I71" s="52">
        <f t="shared" si="30"/>
        <v>0</v>
      </c>
      <c r="J71" s="52">
        <f t="shared" si="31"/>
        <v>0</v>
      </c>
      <c r="K71" s="52">
        <f t="shared" si="32"/>
        <v>0</v>
      </c>
      <c r="L71" s="53">
        <f t="shared" si="33"/>
        <v>-0.01</v>
      </c>
      <c r="M71" s="55">
        <f>IF(Z71="NOTSYD",E71+L71-L$97+regcalc!P$114,E71+L71-L$97+regcalc!K$114)</f>
        <v>0.65440539853206559</v>
      </c>
      <c r="N71" s="56">
        <f t="shared" si="34"/>
        <v>0.99999987844237226</v>
      </c>
      <c r="P71" t="str">
        <f t="shared" si="35"/>
        <v/>
      </c>
      <c r="Q71" t="str">
        <f t="shared" si="36"/>
        <v/>
      </c>
      <c r="R71" s="57">
        <f t="shared" si="37"/>
        <v>0.47652297217455164</v>
      </c>
      <c r="S71" s="56">
        <f t="shared" si="38"/>
        <v>0.21622300220867274</v>
      </c>
      <c r="Z71" t="s">
        <v>138</v>
      </c>
      <c r="AB71">
        <v>0.53100000000000003</v>
      </c>
      <c r="AC71">
        <v>0.36699999999999999</v>
      </c>
      <c r="AD71">
        <v>8.1000000000000003E-2</v>
      </c>
      <c r="AF71" s="57">
        <f>AB71+IF($Z71="NOTSYD",regcalc!U$112*-0.5,regcalc!U$112*0.5)+output!E$4</f>
        <v>0.44254267515923573</v>
      </c>
      <c r="AG71" s="57">
        <f>AC71+IF($Z71="NOTSYD",regcalc!T$112*-0.5,regcalc!T$112*0.5)+output!E$5</f>
        <v>0.45566850028951944</v>
      </c>
      <c r="AH71" s="57">
        <f>AD71+IF($Z71="NOTSYD",regcalc!V$112*-0.5,regcalc!V$112*0.5)+output!E$6</f>
        <v>8.4749507817023742E-2</v>
      </c>
      <c r="AI71" s="57">
        <f t="shared" si="39"/>
        <v>1.7039316734221099E-2</v>
      </c>
      <c r="AK71" s="57">
        <f t="shared" si="40"/>
        <v>0.44254267515923573</v>
      </c>
      <c r="AL71" s="57">
        <f t="shared" si="27"/>
        <v>0.45566850028951944</v>
      </c>
      <c r="AM71" s="57">
        <f t="shared" si="28"/>
        <v>8.4749507817023742E-2</v>
      </c>
      <c r="AN71" s="57">
        <f t="shared" si="41"/>
        <v>1.7039316734221099E-2</v>
      </c>
      <c r="AP71">
        <f>AK71+($AM71*prefs!B$2)+($AN71*prefs!C$2)</f>
        <v>0.45884143042848874</v>
      </c>
      <c r="AQ71">
        <f>AL71+($AM71*prefs!B$3)+($AN71*prefs!C$3)</f>
        <v>0.50405324038795607</v>
      </c>
      <c r="AR71">
        <f t="shared" si="42"/>
        <v>3.7105329183555247E-2</v>
      </c>
      <c r="AT71">
        <f t="shared" si="43"/>
        <v>0.47652297217455164</v>
      </c>
      <c r="AU71">
        <f t="shared" si="44"/>
        <v>0.52347702782544847</v>
      </c>
      <c r="AV71" s="56">
        <f t="shared" si="45"/>
        <v>0.21622300220867274</v>
      </c>
      <c r="AX71">
        <f t="shared" si="46"/>
        <v>0.46357224631152294</v>
      </c>
      <c r="AY71">
        <f t="shared" si="47"/>
        <v>0.48023014365373484</v>
      </c>
      <c r="AZ71">
        <f t="shared" si="48"/>
        <v>5.6197610034742218E-2</v>
      </c>
      <c r="BB71">
        <f t="shared" si="49"/>
        <v>0.49117511381655587</v>
      </c>
      <c r="BC71">
        <f t="shared" si="50"/>
        <v>0.50882488618344413</v>
      </c>
      <c r="BD71" s="74">
        <f t="shared" si="51"/>
        <v>0.38396560064349272</v>
      </c>
    </row>
    <row r="72" spans="1:56" x14ac:dyDescent="0.25">
      <c r="A72" t="s">
        <v>99</v>
      </c>
      <c r="B72" t="s">
        <v>3</v>
      </c>
      <c r="C72">
        <v>0.51100000000000001</v>
      </c>
      <c r="E72">
        <f>C72+output!$E$10</f>
        <v>0.42774389079265218</v>
      </c>
      <c r="G72" t="s">
        <v>135</v>
      </c>
      <c r="H72" s="52">
        <f t="shared" si="29"/>
        <v>0</v>
      </c>
      <c r="I72" s="52">
        <f t="shared" si="30"/>
        <v>1</v>
      </c>
      <c r="J72" s="52">
        <f t="shared" si="31"/>
        <v>1</v>
      </c>
      <c r="K72" s="52">
        <f t="shared" si="32"/>
        <v>1</v>
      </c>
      <c r="L72" s="53">
        <f t="shared" si="33"/>
        <v>2.1999999999999999E-2</v>
      </c>
      <c r="M72" s="55">
        <f>IF(Z72="NOTSYD",E72+L72-L$97+regcalc!P$114,E72+L72-L$97+regcalc!K$114)</f>
        <v>0.48009655756054898</v>
      </c>
      <c r="N72" s="56">
        <f t="shared" si="34"/>
        <v>0.25285860289879891</v>
      </c>
      <c r="P72" t="str">
        <f t="shared" si="35"/>
        <v/>
      </c>
      <c r="Q72" t="str">
        <f t="shared" si="36"/>
        <v>X</v>
      </c>
      <c r="R72" s="57">
        <f t="shared" si="37"/>
        <v>0.43934938849387772</v>
      </c>
      <c r="S72" s="56">
        <f t="shared" si="38"/>
        <v>2.1279906470830889E-2</v>
      </c>
      <c r="AB72">
        <v>0.42199999999999999</v>
      </c>
      <c r="AC72">
        <v>0.40500000000000003</v>
      </c>
      <c r="AD72">
        <v>7.1999999999999995E-2</v>
      </c>
      <c r="AF72" s="57">
        <f>AB72+IF($Z72="NOTSYD",regcalc!U$112*-0.5,regcalc!U$112*0.5)+output!E$4</f>
        <v>0.39965732484076438</v>
      </c>
      <c r="AG72" s="57">
        <f>AC72+IF($Z72="NOTSYD",regcalc!T$112*-0.5,regcalc!T$112*0.5)+output!E$5</f>
        <v>0.48933149971048062</v>
      </c>
      <c r="AH72" s="57">
        <f>AD72+IF($Z72="NOTSYD",regcalc!V$112*-0.5,regcalc!V$112*0.5)+output!E$6</f>
        <v>6.8650492182976239E-2</v>
      </c>
      <c r="AI72" s="57">
        <f t="shared" si="39"/>
        <v>4.2360683265778798E-2</v>
      </c>
      <c r="AK72" s="57">
        <f t="shared" si="40"/>
        <v>0.39965732484076438</v>
      </c>
      <c r="AL72" s="57">
        <f t="shared" si="27"/>
        <v>0.48933149971048062</v>
      </c>
      <c r="AM72" s="57">
        <f t="shared" si="28"/>
        <v>6.8650492182976239E-2</v>
      </c>
      <c r="AN72" s="57">
        <f t="shared" si="41"/>
        <v>4.2360683265778798E-2</v>
      </c>
      <c r="AP72">
        <f>AK72+($AM72*prefs!B$2)+($AN72*prefs!C$2)</f>
        <v>0.41872866957151134</v>
      </c>
      <c r="AQ72">
        <f>AL72+($AM72*prefs!B$3)+($AN72*prefs!C$3)</f>
        <v>0.53433665961204402</v>
      </c>
      <c r="AR72">
        <f t="shared" si="42"/>
        <v>4.6934670816444646E-2</v>
      </c>
      <c r="AT72">
        <f t="shared" si="43"/>
        <v>0.43934938849387772</v>
      </c>
      <c r="AU72">
        <f t="shared" si="44"/>
        <v>0.56065061150612228</v>
      </c>
      <c r="AV72" s="56">
        <f t="shared" si="45"/>
        <v>2.1279906470830889E-2</v>
      </c>
      <c r="AX72">
        <f t="shared" si="46"/>
        <v>0.4225922336884772</v>
      </c>
      <c r="AY72">
        <f t="shared" si="47"/>
        <v>0.51611849634626517</v>
      </c>
      <c r="AZ72">
        <f t="shared" si="48"/>
        <v>6.1289269965257631E-2</v>
      </c>
      <c r="BB72">
        <f t="shared" si="49"/>
        <v>0.45018366166202956</v>
      </c>
      <c r="BC72">
        <f t="shared" si="50"/>
        <v>0.5498163383379705</v>
      </c>
      <c r="BD72" s="74">
        <f t="shared" si="51"/>
        <v>4.7883267813883523E-2</v>
      </c>
    </row>
    <row r="73" spans="1:56" x14ac:dyDescent="0.25">
      <c r="A73" t="s">
        <v>100</v>
      </c>
      <c r="B73" t="s">
        <v>3</v>
      </c>
      <c r="C73">
        <v>0.70100000000000007</v>
      </c>
      <c r="E73">
        <f>C73+output!$E$10</f>
        <v>0.61774389079265224</v>
      </c>
      <c r="G73" t="s">
        <v>135</v>
      </c>
      <c r="H73" s="52">
        <f t="shared" si="29"/>
        <v>0</v>
      </c>
      <c r="I73" s="52">
        <f t="shared" si="30"/>
        <v>1</v>
      </c>
      <c r="J73" s="52">
        <f t="shared" si="31"/>
        <v>1</v>
      </c>
      <c r="K73" s="52">
        <f t="shared" si="32"/>
        <v>1</v>
      </c>
      <c r="L73" s="53">
        <f t="shared" si="33"/>
        <v>2.1999999999999999E-2</v>
      </c>
      <c r="M73" s="55">
        <f>IF(Z73="NOTSYD",E73+L73-L$97+regcalc!P$114,E73+L73-L$97+regcalc!K$114)</f>
        <v>0.67009655756054909</v>
      </c>
      <c r="N73" s="56">
        <f t="shared" si="34"/>
        <v>0.99999999355822011</v>
      </c>
      <c r="P73" t="str">
        <f t="shared" si="35"/>
        <v/>
      </c>
      <c r="Q73" t="str">
        <f t="shared" si="36"/>
        <v/>
      </c>
      <c r="R73" s="57">
        <f t="shared" si="37"/>
        <v>0.61772054996871339</v>
      </c>
      <c r="S73" s="56">
        <f t="shared" si="38"/>
        <v>0.99995862275942948</v>
      </c>
      <c r="AB73">
        <v>0.58399999999999996</v>
      </c>
      <c r="AC73">
        <v>0.23599999999999999</v>
      </c>
      <c r="AD73">
        <v>5.3999999999999999E-2</v>
      </c>
      <c r="AF73" s="57">
        <f>AB73+IF($Z73="NOTSYD",regcalc!U$112*-0.5,regcalc!U$112*0.5)+output!E$4</f>
        <v>0.56165732484076436</v>
      </c>
      <c r="AG73" s="57">
        <f>AC73+IF($Z73="NOTSYD",regcalc!T$112*-0.5,regcalc!T$112*0.5)+output!E$5</f>
        <v>0.32033149971048058</v>
      </c>
      <c r="AH73" s="57">
        <f>AD73+IF($Z73="NOTSYD",regcalc!V$112*-0.5,regcalc!V$112*0.5)+output!E$6</f>
        <v>5.0650492182976251E-2</v>
      </c>
      <c r="AI73" s="57">
        <f t="shared" si="39"/>
        <v>6.736068326577882E-2</v>
      </c>
      <c r="AK73" s="57">
        <f t="shared" si="40"/>
        <v>0.56165732484076436</v>
      </c>
      <c r="AL73" s="57">
        <f t="shared" si="27"/>
        <v>0.32033149971048058</v>
      </c>
      <c r="AM73" s="57">
        <f t="shared" si="28"/>
        <v>5.0650492182976251E-2</v>
      </c>
      <c r="AN73" s="57">
        <f t="shared" si="41"/>
        <v>6.736068326577882E-2</v>
      </c>
      <c r="AP73">
        <f>AK73+($AM73*prefs!B$2)+($AN73*prefs!C$2)</f>
        <v>0.58314816957151128</v>
      </c>
      <c r="AQ73">
        <f>AL73+($AM73*prefs!B$3)+($AN73*prefs!C$3)</f>
        <v>0.36088415961204395</v>
      </c>
      <c r="AR73">
        <f t="shared" si="42"/>
        <v>5.5967670816444715E-2</v>
      </c>
      <c r="AT73">
        <f t="shared" si="43"/>
        <v>0.61772054996871339</v>
      </c>
      <c r="AU73">
        <f t="shared" si="44"/>
        <v>0.38227945003128655</v>
      </c>
      <c r="AV73" s="56">
        <f t="shared" si="45"/>
        <v>0.99995862275942948</v>
      </c>
      <c r="AX73">
        <f t="shared" si="46"/>
        <v>0.58603843368847719</v>
      </c>
      <c r="AY73">
        <f t="shared" si="47"/>
        <v>0.34880759634626518</v>
      </c>
      <c r="AZ73">
        <f t="shared" si="48"/>
        <v>6.5153969965257685E-2</v>
      </c>
      <c r="BB73">
        <f t="shared" si="49"/>
        <v>0.62688230452954685</v>
      </c>
      <c r="BC73">
        <f t="shared" si="50"/>
        <v>0.37311769547045326</v>
      </c>
      <c r="BD73" s="74">
        <f t="shared" si="51"/>
        <v>0.99998895402283383</v>
      </c>
    </row>
    <row r="74" spans="1:56" x14ac:dyDescent="0.25">
      <c r="A74" t="s">
        <v>101</v>
      </c>
      <c r="B74" t="s">
        <v>3</v>
      </c>
      <c r="C74">
        <v>0.53600000000000003</v>
      </c>
      <c r="E74">
        <f>C74+output!$E$10</f>
        <v>0.4527438907926522</v>
      </c>
      <c r="G74" t="s">
        <v>135</v>
      </c>
      <c r="H74" s="52">
        <f t="shared" si="29"/>
        <v>0</v>
      </c>
      <c r="I74" s="52">
        <f t="shared" si="30"/>
        <v>1</v>
      </c>
      <c r="J74" s="52">
        <f t="shared" si="31"/>
        <v>1</v>
      </c>
      <c r="K74" s="52">
        <f t="shared" si="32"/>
        <v>1</v>
      </c>
      <c r="L74" s="53">
        <f t="shared" si="33"/>
        <v>2.1999999999999999E-2</v>
      </c>
      <c r="M74" s="55">
        <f>IF(Z74="NOTSYD",E74+L74-L$97+regcalc!P$114,E74+L74-L$97+regcalc!K$114)</f>
        <v>0.50509655756054905</v>
      </c>
      <c r="N74" s="56">
        <f t="shared" si="34"/>
        <v>0.56765854290767437</v>
      </c>
      <c r="P74" t="str">
        <f t="shared" si="35"/>
        <v>X</v>
      </c>
      <c r="Q74" t="str">
        <f t="shared" si="36"/>
        <v/>
      </c>
      <c r="R74" s="57">
        <f t="shared" si="37"/>
        <v>0.46345316880313564</v>
      </c>
      <c r="S74" s="56">
        <f t="shared" si="38"/>
        <v>0.11084732228846872</v>
      </c>
      <c r="AB74">
        <v>0.433</v>
      </c>
      <c r="AC74">
        <v>0.36299999999999999</v>
      </c>
      <c r="AD74">
        <v>8.7999999999999995E-2</v>
      </c>
      <c r="AF74" s="57">
        <f>AB74+IF($Z74="NOTSYD",regcalc!U$112*-0.5,regcalc!U$112*0.5)+output!E$4</f>
        <v>0.41065732484076439</v>
      </c>
      <c r="AG74" s="57">
        <f>AC74+IF($Z74="NOTSYD",regcalc!T$112*-0.5,regcalc!T$112*0.5)+output!E$5</f>
        <v>0.44733149971048058</v>
      </c>
      <c r="AH74" s="57">
        <f>AD74+IF($Z74="NOTSYD",regcalc!V$112*-0.5,regcalc!V$112*0.5)+output!E$6</f>
        <v>8.4650492182976239E-2</v>
      </c>
      <c r="AI74" s="57">
        <f t="shared" si="39"/>
        <v>5.73606832657787E-2</v>
      </c>
      <c r="AK74" s="57">
        <f t="shared" si="40"/>
        <v>0.41065732484076439</v>
      </c>
      <c r="AL74" s="57">
        <f t="shared" si="27"/>
        <v>0.44733149971048058</v>
      </c>
      <c r="AM74" s="57">
        <f t="shared" si="28"/>
        <v>8.4650492182976239E-2</v>
      </c>
      <c r="AN74" s="57">
        <f t="shared" si="41"/>
        <v>5.73606832657787E-2</v>
      </c>
      <c r="AP74">
        <f>AK74+($AM74*prefs!B$2)+($AN74*prefs!C$2)</f>
        <v>0.43522716957151131</v>
      </c>
      <c r="AQ74">
        <f>AL74+($AM74*prefs!B$3)+($AN74*prefs!C$3)</f>
        <v>0.50386915961204404</v>
      </c>
      <c r="AR74">
        <f t="shared" si="42"/>
        <v>6.0903670816444655E-2</v>
      </c>
      <c r="AT74">
        <f t="shared" si="43"/>
        <v>0.46345316880313564</v>
      </c>
      <c r="AU74">
        <f t="shared" si="44"/>
        <v>0.53654683119686442</v>
      </c>
      <c r="AV74" s="56">
        <f t="shared" si="45"/>
        <v>0.11084732228846872</v>
      </c>
      <c r="AX74">
        <f t="shared" si="46"/>
        <v>0.43999683368847714</v>
      </c>
      <c r="AY74">
        <f t="shared" si="47"/>
        <v>0.48159879634626512</v>
      </c>
      <c r="AZ74">
        <f t="shared" si="48"/>
        <v>7.8404369965257681E-2</v>
      </c>
      <c r="BB74">
        <f t="shared" si="49"/>
        <v>0.47742938372211047</v>
      </c>
      <c r="BC74">
        <f t="shared" si="50"/>
        <v>0.52257061627788948</v>
      </c>
      <c r="BD74" s="74">
        <f t="shared" si="51"/>
        <v>0.2252130708293486</v>
      </c>
    </row>
    <row r="75" spans="1:56" x14ac:dyDescent="0.25">
      <c r="A75" t="s">
        <v>102</v>
      </c>
      <c r="B75" t="s">
        <v>3</v>
      </c>
      <c r="C75">
        <v>0.752</v>
      </c>
      <c r="E75">
        <f>C75+output!$E$10</f>
        <v>0.66874389079265217</v>
      </c>
      <c r="G75" t="s">
        <v>126</v>
      </c>
      <c r="H75" s="52">
        <f t="shared" si="29"/>
        <v>0</v>
      </c>
      <c r="I75" s="52">
        <f t="shared" si="30"/>
        <v>0</v>
      </c>
      <c r="J75" s="52">
        <f t="shared" si="31"/>
        <v>0</v>
      </c>
      <c r="K75" s="52">
        <f t="shared" si="32"/>
        <v>0</v>
      </c>
      <c r="L75" s="53">
        <f t="shared" si="33"/>
        <v>0</v>
      </c>
      <c r="M75" s="55">
        <f>IF(Z75="NOTSYD",E75+L75-L$97+regcalc!P$114,E75+L75-L$97+regcalc!K$114)</f>
        <v>0.699096557560549</v>
      </c>
      <c r="N75" s="56">
        <f t="shared" si="34"/>
        <v>0.99999999998605382</v>
      </c>
      <c r="P75" t="str">
        <f t="shared" si="35"/>
        <v/>
      </c>
      <c r="Q75" t="str">
        <f t="shared" si="36"/>
        <v/>
      </c>
      <c r="R75" s="57">
        <f t="shared" si="37"/>
        <v>0.66398105606895785</v>
      </c>
      <c r="S75" s="56">
        <f t="shared" si="38"/>
        <v>0.99999997910494787</v>
      </c>
      <c r="AB75">
        <v>0.622</v>
      </c>
      <c r="AC75">
        <v>0.17199999999999999</v>
      </c>
      <c r="AD75">
        <v>9.6000000000000002E-2</v>
      </c>
      <c r="AF75" s="57">
        <f>AB75+IF($Z75="NOTSYD",regcalc!U$112*-0.5,regcalc!U$112*0.5)+output!E$4</f>
        <v>0.59965732484076439</v>
      </c>
      <c r="AG75" s="57">
        <f>AC75+IF($Z75="NOTSYD",regcalc!T$112*-0.5,regcalc!T$112*0.5)+output!E$5</f>
        <v>0.25633149971048064</v>
      </c>
      <c r="AH75" s="57">
        <f>AD75+IF($Z75="NOTSYD",regcalc!V$112*-0.5,regcalc!V$112*0.5)+output!E$6</f>
        <v>9.2650492182976246E-2</v>
      </c>
      <c r="AI75" s="57">
        <f t="shared" si="39"/>
        <v>5.1360683265778695E-2</v>
      </c>
      <c r="AK75" s="57">
        <f t="shared" si="40"/>
        <v>0.59965732484076439</v>
      </c>
      <c r="AL75" s="57">
        <f t="shared" si="27"/>
        <v>0.25633149971048064</v>
      </c>
      <c r="AM75" s="57">
        <f t="shared" si="28"/>
        <v>9.2650492182976246E-2</v>
      </c>
      <c r="AN75" s="57">
        <f t="shared" si="41"/>
        <v>5.1360683265778695E-2</v>
      </c>
      <c r="AP75">
        <f>AK75+($AM75*prefs!B$2)+($AN75*prefs!C$2)</f>
        <v>0.62420216957151131</v>
      </c>
      <c r="AQ75">
        <f>AL75+($AM75*prefs!B$3)+($AN75*prefs!C$3)</f>
        <v>0.31588815961204403</v>
      </c>
      <c r="AR75">
        <f t="shared" si="42"/>
        <v>5.9909670816444605E-2</v>
      </c>
      <c r="AT75">
        <f t="shared" si="43"/>
        <v>0.66398105606895785</v>
      </c>
      <c r="AU75">
        <f t="shared" si="44"/>
        <v>0.33601894393104209</v>
      </c>
      <c r="AV75" s="56">
        <f t="shared" si="45"/>
        <v>0.99999997910494787</v>
      </c>
      <c r="AX75">
        <f t="shared" si="46"/>
        <v>0.62941003368847714</v>
      </c>
      <c r="AY75">
        <f t="shared" si="47"/>
        <v>0.29108139634626518</v>
      </c>
      <c r="AZ75">
        <f t="shared" si="48"/>
        <v>7.9508569965257681E-2</v>
      </c>
      <c r="BB75">
        <f t="shared" si="49"/>
        <v>0.6837760930210085</v>
      </c>
      <c r="BC75">
        <f t="shared" si="50"/>
        <v>0.31622390697899144</v>
      </c>
      <c r="BD75" s="74">
        <f t="shared" si="51"/>
        <v>0.99999999960021113</v>
      </c>
    </row>
    <row r="76" spans="1:56" x14ac:dyDescent="0.25">
      <c r="A76" t="s">
        <v>103</v>
      </c>
      <c r="B76" t="s">
        <v>132</v>
      </c>
      <c r="C76">
        <v>0.58799999999999997</v>
      </c>
      <c r="E76">
        <f>C76+output!$E$10</f>
        <v>0.50474389079265214</v>
      </c>
      <c r="G76" t="s">
        <v>132</v>
      </c>
      <c r="H76" s="52">
        <f t="shared" si="29"/>
        <v>0</v>
      </c>
      <c r="I76" s="52">
        <f t="shared" si="30"/>
        <v>0</v>
      </c>
      <c r="J76" s="52">
        <f t="shared" si="31"/>
        <v>0</v>
      </c>
      <c r="K76" s="52">
        <f t="shared" si="32"/>
        <v>0</v>
      </c>
      <c r="L76" s="53">
        <f t="shared" si="33"/>
        <v>0</v>
      </c>
      <c r="M76" s="55">
        <f>IF(Z76="NOTSYD",E76+L76-L$97+regcalc!P$114,E76+L76-L$97+regcalc!K$114)</f>
        <v>0.53509655756054897</v>
      </c>
      <c r="N76" s="56">
        <f t="shared" si="34"/>
        <v>0.87971050122887384</v>
      </c>
      <c r="P76" t="str">
        <f t="shared" si="35"/>
        <v>X</v>
      </c>
      <c r="Q76" t="str">
        <f t="shared" si="36"/>
        <v/>
      </c>
      <c r="R76" s="57">
        <f t="shared" si="37"/>
        <v>0.51030534357552959</v>
      </c>
      <c r="S76" s="56">
        <f t="shared" si="38"/>
        <v>0.6347967442904755</v>
      </c>
      <c r="AB76">
        <v>0.48399999999999999</v>
      </c>
      <c r="AC76">
        <v>0.33</v>
      </c>
      <c r="AD76">
        <v>7.6999999999999999E-2</v>
      </c>
      <c r="AF76" s="57">
        <f>AB76+IF($Z76="NOTSYD",regcalc!U$112*-0.5,regcalc!U$112*0.5)+output!E$4</f>
        <v>0.46165732484076433</v>
      </c>
      <c r="AG76" s="57">
        <f>AC76+IF($Z76="NOTSYD",regcalc!T$112*-0.5,regcalc!T$112*0.5)+output!E$5</f>
        <v>0.41433149971048061</v>
      </c>
      <c r="AH76" s="57">
        <f>AD76+IF($Z76="NOTSYD",regcalc!V$112*-0.5,regcalc!V$112*0.5)+output!E$6</f>
        <v>7.3650492182976243E-2</v>
      </c>
      <c r="AI76" s="57">
        <f t="shared" si="39"/>
        <v>5.0360683265778805E-2</v>
      </c>
      <c r="AK76" s="57">
        <f t="shared" si="40"/>
        <v>0.46165732484076433</v>
      </c>
      <c r="AL76" s="57">
        <f t="shared" si="27"/>
        <v>0.41433149971048061</v>
      </c>
      <c r="AM76" s="57">
        <f t="shared" si="28"/>
        <v>7.3650492182976243E-2</v>
      </c>
      <c r="AN76" s="57">
        <f t="shared" si="41"/>
        <v>5.0360683265778805E-2</v>
      </c>
      <c r="AP76">
        <f>AK76+($AM76*prefs!B$2)+($AN76*prefs!C$2)</f>
        <v>0.48312766957151132</v>
      </c>
      <c r="AQ76">
        <f>AL76+($AM76*prefs!B$3)+($AN76*prefs!C$3)</f>
        <v>0.46361465961204401</v>
      </c>
      <c r="AR76">
        <f t="shared" si="42"/>
        <v>5.3257670816444724E-2</v>
      </c>
      <c r="AT76">
        <f t="shared" si="43"/>
        <v>0.51030534357552959</v>
      </c>
      <c r="AU76">
        <f t="shared" si="44"/>
        <v>0.48969465642447046</v>
      </c>
      <c r="AV76" s="56">
        <f t="shared" si="45"/>
        <v>0.6347967442904755</v>
      </c>
      <c r="AX76">
        <f t="shared" si="46"/>
        <v>0.48727803368847711</v>
      </c>
      <c r="AY76">
        <f t="shared" si="47"/>
        <v>0.44425539634626521</v>
      </c>
      <c r="AZ76">
        <f t="shared" si="48"/>
        <v>6.8466569965257684E-2</v>
      </c>
      <c r="BB76">
        <f t="shared" si="49"/>
        <v>0.52309237433411671</v>
      </c>
      <c r="BC76">
        <f t="shared" si="50"/>
        <v>0.47690762566588335</v>
      </c>
      <c r="BD76" s="74">
        <f t="shared" si="51"/>
        <v>0.77998751637315389</v>
      </c>
    </row>
    <row r="77" spans="1:56" x14ac:dyDescent="0.25">
      <c r="A77" s="50" t="s">
        <v>104</v>
      </c>
      <c r="B77" t="s">
        <v>4</v>
      </c>
      <c r="C77">
        <v>0.42200000000000004</v>
      </c>
      <c r="E77">
        <f>C77+output!$E$10</f>
        <v>0.33874389079265221</v>
      </c>
      <c r="G77" t="s">
        <v>130</v>
      </c>
      <c r="H77" s="52">
        <f t="shared" si="29"/>
        <v>0</v>
      </c>
      <c r="I77" s="52">
        <f t="shared" si="30"/>
        <v>0</v>
      </c>
      <c r="J77" s="52">
        <f t="shared" si="31"/>
        <v>0</v>
      </c>
      <c r="K77" s="52">
        <f t="shared" si="32"/>
        <v>0</v>
      </c>
      <c r="L77" s="53">
        <f t="shared" si="33"/>
        <v>0</v>
      </c>
      <c r="M77" s="55">
        <f>IF(Z77="NOTSYD",E77+L77-L$97+regcalc!P$114,E77+L77-L$97+regcalc!K$114)</f>
        <v>0.43940539853206556</v>
      </c>
      <c r="N77" s="56">
        <f t="shared" si="34"/>
        <v>2.1375659146636861E-2</v>
      </c>
      <c r="P77" t="str">
        <f t="shared" si="35"/>
        <v/>
      </c>
      <c r="Q77" t="str">
        <f t="shared" si="36"/>
        <v/>
      </c>
      <c r="R77" s="57">
        <f t="shared" si="37"/>
        <v>0.29502717105459569</v>
      </c>
      <c r="S77" s="56">
        <f t="shared" si="38"/>
        <v>3.5962344213658071E-12</v>
      </c>
      <c r="Z77" t="s">
        <v>138</v>
      </c>
      <c r="AB77">
        <v>0.317</v>
      </c>
      <c r="AC77">
        <v>0.45500000000000002</v>
      </c>
      <c r="AD77">
        <v>0.14499999999999999</v>
      </c>
      <c r="AF77" s="57">
        <f>AB77+IF($Z77="NOTSYD",regcalc!U$112*-0.5,regcalc!U$112*0.5)+output!E$4</f>
        <v>0.22854267515923571</v>
      </c>
      <c r="AG77" s="57">
        <f>AC77+IF($Z77="NOTSYD",regcalc!T$112*-0.5,regcalc!T$112*0.5)+output!E$5</f>
        <v>0.54366850028951941</v>
      </c>
      <c r="AH77" s="57">
        <f>AD77+IF($Z77="NOTSYD",regcalc!V$112*-0.5,regcalc!V$112*0.5)+output!E$6</f>
        <v>0.14874950781702373</v>
      </c>
      <c r="AI77" s="57">
        <f t="shared" si="39"/>
        <v>7.9039316734221154E-2</v>
      </c>
      <c r="AK77" s="57">
        <f t="shared" si="40"/>
        <v>0.22854267515923571</v>
      </c>
      <c r="AL77" s="57">
        <f t="shared" si="27"/>
        <v>0.54366850028951941</v>
      </c>
      <c r="AM77" s="57">
        <f t="shared" si="28"/>
        <v>0.14874950781702373</v>
      </c>
      <c r="AN77" s="57">
        <f t="shared" si="41"/>
        <v>7.9039316734221154E-2</v>
      </c>
      <c r="AP77">
        <f>AK77+($AM77*prefs!B$2)+($AN77*prefs!C$2)</f>
        <v>0.26724643042848872</v>
      </c>
      <c r="AQ77">
        <f>AL77+($AM77*prefs!B$3)+($AN77*prefs!C$3)</f>
        <v>0.63859024038795598</v>
      </c>
      <c r="AR77">
        <f t="shared" si="42"/>
        <v>9.41633291835553E-2</v>
      </c>
      <c r="AT77">
        <f t="shared" si="43"/>
        <v>0.29502717105459569</v>
      </c>
      <c r="AU77">
        <f t="shared" si="44"/>
        <v>0.70497282894540425</v>
      </c>
      <c r="AV77" s="56">
        <f t="shared" si="45"/>
        <v>3.5962344213658071E-12</v>
      </c>
      <c r="AX77">
        <f t="shared" si="46"/>
        <v>0.2756038463115229</v>
      </c>
      <c r="AY77">
        <f t="shared" si="47"/>
        <v>0.59863394365373479</v>
      </c>
      <c r="AZ77">
        <f t="shared" si="48"/>
        <v>0.12576221003474231</v>
      </c>
      <c r="BB77">
        <f t="shared" si="49"/>
        <v>0.31525043812447806</v>
      </c>
      <c r="BC77">
        <f t="shared" si="50"/>
        <v>0.68474956187552194</v>
      </c>
      <c r="BD77" s="74">
        <f t="shared" si="51"/>
        <v>3.2549551942651078E-10</v>
      </c>
    </row>
    <row r="78" spans="1:56" x14ac:dyDescent="0.25">
      <c r="A78" t="s">
        <v>105</v>
      </c>
      <c r="B78" t="s">
        <v>3</v>
      </c>
      <c r="C78">
        <v>0.70100000000000007</v>
      </c>
      <c r="E78">
        <f>C78+output!$E$10</f>
        <v>0.61774389079265224</v>
      </c>
      <c r="G78" t="s">
        <v>126</v>
      </c>
      <c r="H78" s="52">
        <f t="shared" si="29"/>
        <v>0</v>
      </c>
      <c r="I78" s="52">
        <f t="shared" si="30"/>
        <v>0</v>
      </c>
      <c r="J78" s="52">
        <f t="shared" si="31"/>
        <v>0</v>
      </c>
      <c r="K78" s="52">
        <f t="shared" si="32"/>
        <v>0</v>
      </c>
      <c r="L78" s="53">
        <f t="shared" si="33"/>
        <v>0</v>
      </c>
      <c r="M78" s="55">
        <f>IF(Z78="NOTSYD",E78+L78-L$97+regcalc!P$114,E78+L78-L$97+regcalc!K$114)</f>
        <v>0.71840539853206564</v>
      </c>
      <c r="N78" s="56">
        <f t="shared" si="34"/>
        <v>0.99999999999985922</v>
      </c>
      <c r="P78" t="str">
        <f t="shared" si="35"/>
        <v/>
      </c>
      <c r="Q78" t="str">
        <f t="shared" si="36"/>
        <v/>
      </c>
      <c r="R78" s="57">
        <f t="shared" si="37"/>
        <v>0.57891351330785923</v>
      </c>
      <c r="S78" s="56">
        <f t="shared" si="38"/>
        <v>0.99583840056537698</v>
      </c>
      <c r="Z78" t="s">
        <v>138</v>
      </c>
      <c r="AB78">
        <v>0.6</v>
      </c>
      <c r="AC78">
        <v>0.22500000000000001</v>
      </c>
      <c r="AD78">
        <v>0.13</v>
      </c>
      <c r="AF78" s="57">
        <f>AB78+IF($Z78="NOTSYD",regcalc!U$112*-0.5,regcalc!U$112*0.5)+output!E$4</f>
        <v>0.51154267515923579</v>
      </c>
      <c r="AG78" s="57">
        <f>AC78+IF($Z78="NOTSYD",regcalc!T$112*-0.5,regcalc!T$112*0.5)+output!E$5</f>
        <v>0.31366850028951943</v>
      </c>
      <c r="AH78" s="57">
        <f>AD78+IF($Z78="NOTSYD",regcalc!V$112*-0.5,regcalc!V$112*0.5)+output!E$6</f>
        <v>0.13374950781702372</v>
      </c>
      <c r="AI78" s="57">
        <f t="shared" si="39"/>
        <v>4.1039316734221121E-2</v>
      </c>
      <c r="AK78" s="57">
        <f t="shared" si="40"/>
        <v>0.51154267515923579</v>
      </c>
      <c r="AL78" s="57">
        <f t="shared" si="27"/>
        <v>0.31366850028951943</v>
      </c>
      <c r="AM78" s="57">
        <f t="shared" si="28"/>
        <v>0.13374950781702372</v>
      </c>
      <c r="AN78" s="57">
        <f t="shared" si="41"/>
        <v>4.1039316734221121E-2</v>
      </c>
      <c r="AP78">
        <f>AK78+($AM78*prefs!B$2)+($AN78*prefs!C$2)</f>
        <v>0.54017243042848884</v>
      </c>
      <c r="AQ78">
        <f>AL78+($AM78*prefs!B$3)+($AN78*prefs!C$3)</f>
        <v>0.39290724038795599</v>
      </c>
      <c r="AR78">
        <f t="shared" si="42"/>
        <v>6.6920329183555172E-2</v>
      </c>
      <c r="AT78">
        <f t="shared" si="43"/>
        <v>0.57891351330785923</v>
      </c>
      <c r="AU78">
        <f t="shared" si="44"/>
        <v>0.42108648669214077</v>
      </c>
      <c r="AV78" s="56">
        <f t="shared" si="45"/>
        <v>0.99583840056537698</v>
      </c>
      <c r="AX78">
        <f t="shared" si="46"/>
        <v>0.54765404631152292</v>
      </c>
      <c r="AY78">
        <f t="shared" si="47"/>
        <v>0.35584504365373482</v>
      </c>
      <c r="AZ78">
        <f t="shared" si="48"/>
        <v>9.650091003474226E-2</v>
      </c>
      <c r="BB78">
        <f t="shared" si="49"/>
        <v>0.60614786710253565</v>
      </c>
      <c r="BC78">
        <f t="shared" si="50"/>
        <v>0.3938521328974644</v>
      </c>
      <c r="BD78" s="74">
        <f t="shared" si="51"/>
        <v>0.99980688506461357</v>
      </c>
    </row>
    <row r="79" spans="1:56" x14ac:dyDescent="0.25">
      <c r="A79" t="s">
        <v>106</v>
      </c>
      <c r="B79" t="s">
        <v>3</v>
      </c>
      <c r="C79">
        <v>0.56400000000000006</v>
      </c>
      <c r="E79">
        <f>C79+output!$E$10</f>
        <v>0.48074389079265223</v>
      </c>
      <c r="G79" t="s">
        <v>135</v>
      </c>
      <c r="H79" s="52">
        <f t="shared" si="29"/>
        <v>0</v>
      </c>
      <c r="I79" s="52">
        <f t="shared" si="30"/>
        <v>1</v>
      </c>
      <c r="J79" s="52">
        <f t="shared" si="31"/>
        <v>1</v>
      </c>
      <c r="K79" s="52">
        <f t="shared" si="32"/>
        <v>1</v>
      </c>
      <c r="L79" s="53">
        <f t="shared" si="33"/>
        <v>2.1999999999999999E-2</v>
      </c>
      <c r="M79" s="55">
        <f>IF(Z79="NOTSYD",E79+L79-L$97+regcalc!P$114,E79+L79-L$97+regcalc!K$114)</f>
        <v>0.53309655756054908</v>
      </c>
      <c r="N79" s="56">
        <f t="shared" si="34"/>
        <v>0.86578078474661679</v>
      </c>
      <c r="P79" t="str">
        <f t="shared" si="35"/>
        <v>X</v>
      </c>
      <c r="Q79" t="str">
        <f t="shared" si="36"/>
        <v/>
      </c>
      <c r="R79" s="57">
        <f t="shared" si="37"/>
        <v>0.4899047442432008</v>
      </c>
      <c r="S79" s="56">
        <f t="shared" si="38"/>
        <v>0.36784738692258601</v>
      </c>
      <c r="AB79">
        <v>0.47799999999999998</v>
      </c>
      <c r="AC79">
        <v>0.35</v>
      </c>
      <c r="AD79">
        <v>0.111</v>
      </c>
      <c r="AF79" s="57">
        <f>AB79+IF($Z79="NOTSYD",regcalc!U$112*-0.5,regcalc!U$112*0.5)+output!E$4</f>
        <v>0.45565732484076432</v>
      </c>
      <c r="AG79" s="57">
        <f>AC79+IF($Z79="NOTSYD",regcalc!T$112*-0.5,regcalc!T$112*0.5)+output!E$5</f>
        <v>0.43433149971048057</v>
      </c>
      <c r="AH79" s="57">
        <f>AD79+IF($Z79="NOTSYD",regcalc!V$112*-0.5,regcalc!V$112*0.5)+output!E$6</f>
        <v>0.10765049218297625</v>
      </c>
      <c r="AI79" s="57">
        <f t="shared" si="39"/>
        <v>2.3606832657788734E-3</v>
      </c>
      <c r="AK79" s="57">
        <f t="shared" si="40"/>
        <v>0.45565732484076432</v>
      </c>
      <c r="AL79" s="57">
        <f t="shared" si="27"/>
        <v>0.43433149971048057</v>
      </c>
      <c r="AM79" s="57">
        <f t="shared" si="28"/>
        <v>0.10765049218297625</v>
      </c>
      <c r="AN79" s="57">
        <f t="shared" si="41"/>
        <v>2.3606832657788734E-3</v>
      </c>
      <c r="AP79">
        <f>AK79+($AM79*prefs!B$2)+($AN79*prefs!C$2)</f>
        <v>0.47239766957151125</v>
      </c>
      <c r="AQ79">
        <f>AL79+($AM79*prefs!B$3)+($AN79*prefs!C$3)</f>
        <v>0.49186665961204401</v>
      </c>
      <c r="AR79">
        <f t="shared" si="42"/>
        <v>3.5735670816444687E-2</v>
      </c>
      <c r="AT79">
        <f t="shared" si="43"/>
        <v>0.4899047442432008</v>
      </c>
      <c r="AU79">
        <f t="shared" si="44"/>
        <v>0.51009525575679915</v>
      </c>
      <c r="AV79" s="56">
        <f t="shared" si="45"/>
        <v>0.36784738692258601</v>
      </c>
      <c r="AX79">
        <f t="shared" si="46"/>
        <v>0.47838563368847714</v>
      </c>
      <c r="AY79">
        <f t="shared" si="47"/>
        <v>0.46087719634626517</v>
      </c>
      <c r="AZ79">
        <f t="shared" si="48"/>
        <v>6.0737169965257687E-2</v>
      </c>
      <c r="BB79">
        <f t="shared" si="49"/>
        <v>0.50932030778944182</v>
      </c>
      <c r="BC79">
        <f t="shared" si="50"/>
        <v>0.49067969221055818</v>
      </c>
      <c r="BD79" s="74">
        <f t="shared" si="51"/>
        <v>0.62234586270731707</v>
      </c>
    </row>
    <row r="80" spans="1:56" x14ac:dyDescent="0.25">
      <c r="A80" t="s">
        <v>107</v>
      </c>
      <c r="B80" t="s">
        <v>132</v>
      </c>
      <c r="C80">
        <v>0.373</v>
      </c>
      <c r="E80">
        <f>C80+output!$E$10</f>
        <v>0.28974389079265217</v>
      </c>
      <c r="G80" t="s">
        <v>132</v>
      </c>
      <c r="H80" s="52">
        <f t="shared" si="29"/>
        <v>0</v>
      </c>
      <c r="I80" s="52">
        <f t="shared" si="30"/>
        <v>0</v>
      </c>
      <c r="J80" s="52">
        <f t="shared" si="31"/>
        <v>0</v>
      </c>
      <c r="K80" s="52">
        <f t="shared" si="32"/>
        <v>0</v>
      </c>
      <c r="L80" s="53">
        <f t="shared" si="33"/>
        <v>0</v>
      </c>
      <c r="M80" s="55">
        <f>IF(Z80="NOTSYD",E80+L80-L$97+regcalc!P$114,E80+L80-L$97+regcalc!K$114)</f>
        <v>0.32009655756054894</v>
      </c>
      <c r="N80" s="56">
        <f t="shared" si="34"/>
        <v>8.965524989079654E-10</v>
      </c>
      <c r="P80" t="str">
        <f t="shared" si="35"/>
        <v/>
      </c>
      <c r="Q80" t="str">
        <f t="shared" si="36"/>
        <v/>
      </c>
      <c r="R80" s="57">
        <f t="shared" si="37"/>
        <v>0.32050042609213258</v>
      </c>
      <c r="S80" s="56">
        <f t="shared" si="38"/>
        <v>9.7441632540551382E-10</v>
      </c>
      <c r="AB80">
        <v>0.28299999999999997</v>
      </c>
      <c r="AC80">
        <v>0.41799999999999998</v>
      </c>
      <c r="AD80">
        <v>0.24299999999999999</v>
      </c>
      <c r="AF80" s="57">
        <f>AB80+IF($Z80="NOTSYD",regcalc!U$112*-0.5,regcalc!U$112*0.5)+output!E$4</f>
        <v>0.26065732484076437</v>
      </c>
      <c r="AG80" s="57">
        <f>AC80+IF($Z80="NOTSYD",regcalc!T$112*-0.5,regcalc!T$112*0.5)+output!E$5</f>
        <v>0.50233149971048063</v>
      </c>
      <c r="AH80" s="57">
        <f>AD80+IF($Z80="NOTSYD",regcalc!V$112*-0.5,regcalc!V$112*0.5)+output!E$6</f>
        <v>0.23965049218297624</v>
      </c>
      <c r="AI80" s="57">
        <f t="shared" si="39"/>
        <v>-2.639316734221353E-3</v>
      </c>
      <c r="AK80" s="57">
        <f t="shared" si="40"/>
        <v>0.25997117855877894</v>
      </c>
      <c r="AL80" s="57">
        <f t="shared" si="27"/>
        <v>0.5010091778035054</v>
      </c>
      <c r="AM80" s="57">
        <f t="shared" si="28"/>
        <v>0.23901964363771558</v>
      </c>
      <c r="AN80" s="57">
        <f t="shared" si="41"/>
        <v>0</v>
      </c>
      <c r="AP80">
        <f>AK80+($AM80*prefs!B$2)+($AN80*prefs!C$2)</f>
        <v>0.29606314474807399</v>
      </c>
      <c r="AQ80">
        <f>AL80+($AM80*prefs!B$3)+($AN80*prefs!C$3)</f>
        <v>0.62768958893149462</v>
      </c>
      <c r="AR80">
        <f t="shared" si="42"/>
        <v>7.6247266320431439E-2</v>
      </c>
      <c r="AT80">
        <f t="shared" si="43"/>
        <v>0.32050042609213258</v>
      </c>
      <c r="AU80">
        <f t="shared" si="44"/>
        <v>0.67949957390786753</v>
      </c>
      <c r="AV80" s="56">
        <f t="shared" si="45"/>
        <v>9.7441632540551382E-10</v>
      </c>
      <c r="AX80">
        <f t="shared" si="46"/>
        <v>0.30935263693433096</v>
      </c>
      <c r="AY80">
        <f t="shared" si="47"/>
        <v>0.55868461781328616</v>
      </c>
      <c r="AZ80">
        <f t="shared" si="48"/>
        <v>0.13196274525238283</v>
      </c>
      <c r="BB80">
        <f t="shared" si="49"/>
        <v>0.35638175117757542</v>
      </c>
      <c r="BC80">
        <f t="shared" si="50"/>
        <v>0.64361824882242447</v>
      </c>
      <c r="BD80" s="74">
        <f t="shared" si="51"/>
        <v>7.8452640417392416E-7</v>
      </c>
    </row>
    <row r="81" spans="1:56" x14ac:dyDescent="0.25">
      <c r="A81" t="s">
        <v>108</v>
      </c>
      <c r="B81" t="s">
        <v>3</v>
      </c>
      <c r="C81">
        <v>0.503</v>
      </c>
      <c r="E81">
        <f>C81+output!$E$10</f>
        <v>0.41974389079265217</v>
      </c>
      <c r="G81" t="s">
        <v>136</v>
      </c>
      <c r="H81" s="52">
        <f t="shared" si="29"/>
        <v>1</v>
      </c>
      <c r="I81" s="52">
        <f t="shared" si="30"/>
        <v>0</v>
      </c>
      <c r="J81" s="52">
        <f t="shared" si="31"/>
        <v>0</v>
      </c>
      <c r="K81" s="52">
        <f t="shared" si="32"/>
        <v>0</v>
      </c>
      <c r="L81" s="53">
        <f t="shared" si="33"/>
        <v>-0.01</v>
      </c>
      <c r="M81" s="55">
        <f>IF(Z81="NOTSYD",E81+L81-L$97+regcalc!P$114,E81+L81-L$97+regcalc!K$114)</f>
        <v>0.51040539853206557</v>
      </c>
      <c r="N81" s="56">
        <f t="shared" si="34"/>
        <v>0.63605377951941588</v>
      </c>
      <c r="P81" t="str">
        <f t="shared" si="35"/>
        <v>X</v>
      </c>
      <c r="Q81" t="str">
        <f t="shared" si="36"/>
        <v/>
      </c>
      <c r="R81" s="57">
        <f t="shared" si="37"/>
        <v>0.38453613268851056</v>
      </c>
      <c r="S81" s="56">
        <f t="shared" si="38"/>
        <v>5.6503104604699317E-5</v>
      </c>
      <c r="Z81" t="s">
        <v>138</v>
      </c>
      <c r="AB81">
        <v>0.373</v>
      </c>
      <c r="AC81">
        <v>0.36199999999999999</v>
      </c>
      <c r="AD81">
        <v>8.7999999999999995E-2</v>
      </c>
      <c r="AF81" s="57">
        <f>AB81+IF($Z81="NOTSYD",regcalc!U$112*-0.5,regcalc!U$112*0.5)+output!E$4</f>
        <v>0.2845426751592357</v>
      </c>
      <c r="AG81" s="57">
        <f>AC81+IF($Z81="NOTSYD",regcalc!T$112*-0.5,regcalc!T$112*0.5)+output!E$5</f>
        <v>0.45066850028951944</v>
      </c>
      <c r="AH81" s="57">
        <f>AD81+IF($Z81="NOTSYD",regcalc!V$112*-0.5,regcalc!V$112*0.5)+output!E$6</f>
        <v>9.1749507817023734E-2</v>
      </c>
      <c r="AI81" s="57">
        <f t="shared" si="39"/>
        <v>0.17303931673422113</v>
      </c>
      <c r="AK81" s="57">
        <f t="shared" si="40"/>
        <v>0.2845426751592357</v>
      </c>
      <c r="AL81" s="57">
        <f t="shared" si="27"/>
        <v>0.45066850028951944</v>
      </c>
      <c r="AM81" s="57">
        <f t="shared" si="28"/>
        <v>9.1749507817023734E-2</v>
      </c>
      <c r="AN81" s="57">
        <f t="shared" si="41"/>
        <v>0.17303931673422113</v>
      </c>
      <c r="AP81">
        <f>AK81+($AM81*prefs!B$2)+($AN81*prefs!C$2)</f>
        <v>0.33395643042848872</v>
      </c>
      <c r="AQ81">
        <f>AL81+($AM81*prefs!B$3)+($AN81*prefs!C$3)</f>
        <v>0.534509240387956</v>
      </c>
      <c r="AR81">
        <f t="shared" si="42"/>
        <v>0.13153432918355534</v>
      </c>
      <c r="AT81">
        <f t="shared" si="43"/>
        <v>0.38453613268851056</v>
      </c>
      <c r="AU81">
        <f t="shared" si="44"/>
        <v>0.6154638673114895</v>
      </c>
      <c r="AV81" s="56">
        <f t="shared" si="45"/>
        <v>5.6503104604699317E-5</v>
      </c>
      <c r="AX81">
        <f t="shared" si="46"/>
        <v>0.33924804631152289</v>
      </c>
      <c r="AY81">
        <f t="shared" si="47"/>
        <v>0.51456204365373481</v>
      </c>
      <c r="AZ81">
        <f t="shared" si="48"/>
        <v>0.14618991003474235</v>
      </c>
      <c r="BB81">
        <f t="shared" si="49"/>
        <v>0.39733431391672497</v>
      </c>
      <c r="BC81">
        <f t="shared" si="50"/>
        <v>0.60266568608327509</v>
      </c>
      <c r="BD81" s="74">
        <f t="shared" si="51"/>
        <v>2.9859994851211269E-4</v>
      </c>
    </row>
    <row r="82" spans="1:56" x14ac:dyDescent="0.25">
      <c r="A82" t="s">
        <v>109</v>
      </c>
      <c r="B82" t="s">
        <v>3</v>
      </c>
      <c r="C82">
        <v>0.67900000000000005</v>
      </c>
      <c r="E82">
        <f>C82+output!$E$10</f>
        <v>0.59574389079265222</v>
      </c>
      <c r="G82" t="s">
        <v>131</v>
      </c>
      <c r="H82" s="52">
        <f t="shared" si="29"/>
        <v>0</v>
      </c>
      <c r="I82" s="52">
        <f t="shared" si="30"/>
        <v>0</v>
      </c>
      <c r="J82" s="52">
        <f t="shared" si="31"/>
        <v>0</v>
      </c>
      <c r="K82" s="52">
        <f t="shared" si="32"/>
        <v>0</v>
      </c>
      <c r="L82" s="53">
        <f t="shared" si="33"/>
        <v>0</v>
      </c>
      <c r="M82" s="55">
        <f>IF(Z82="NOTSYD",E82+L82-L$97+regcalc!P$114,E82+L82-L$97+regcalc!K$114)</f>
        <v>0.62609655756054905</v>
      </c>
      <c r="N82" s="56"/>
      <c r="P82" t="str">
        <f t="shared" si="35"/>
        <v/>
      </c>
      <c r="Q82" t="str">
        <f t="shared" si="36"/>
        <v/>
      </c>
      <c r="R82" s="57">
        <f t="shared" si="37"/>
        <v>0.58682357762833226</v>
      </c>
      <c r="S82" s="56"/>
      <c r="AB82">
        <v>0.38900000000000001</v>
      </c>
      <c r="AC82">
        <v>0.104</v>
      </c>
      <c r="AD82">
        <v>0.123</v>
      </c>
      <c r="AF82" s="57">
        <f>AB82+IF($Z82="NOTSYD",regcalc!U$112*-0.5,regcalc!U$112*0.5)+output!E$4</f>
        <v>0.36665732484076441</v>
      </c>
      <c r="AG82" s="57">
        <f>AC82+IF($Z82="NOTSYD",regcalc!T$112*-0.5,regcalc!T$112*0.5)+output!E$5</f>
        <v>0.18833149971048063</v>
      </c>
      <c r="AH82" s="57">
        <f>AD82+IF($Z82="NOTSYD",regcalc!V$112*-0.5,regcalc!V$112*0.5)+output!E$6</f>
        <v>0.11965049218297624</v>
      </c>
      <c r="AI82" s="57">
        <f t="shared" si="39"/>
        <v>0.32536068326577872</v>
      </c>
      <c r="AK82" s="57">
        <f t="shared" si="40"/>
        <v>0.36665732484076441</v>
      </c>
      <c r="AL82" s="57">
        <f t="shared" si="27"/>
        <v>0.18833149971048063</v>
      </c>
      <c r="AM82" s="57">
        <f t="shared" si="28"/>
        <v>0.11965049218297624</v>
      </c>
      <c r="AN82" s="57">
        <f t="shared" si="41"/>
        <v>0.32536068326577872</v>
      </c>
      <c r="AP82">
        <f>AK82+($AM82*prefs!B$2)+($AN82*prefs!C$2)</f>
        <v>0.45158616957151138</v>
      </c>
      <c r="AQ82">
        <f>AL82+($AM82*prefs!B$3)+($AN82*prefs!C$3)</f>
        <v>0.31795715961204402</v>
      </c>
      <c r="AR82">
        <f t="shared" si="42"/>
        <v>0.23045667081644461</v>
      </c>
      <c r="AT82">
        <f t="shared" si="43"/>
        <v>0.58682357762833226</v>
      </c>
      <c r="AU82">
        <f t="shared" si="44"/>
        <v>0.41317642237166774</v>
      </c>
      <c r="AV82" s="56">
        <f t="shared" si="45"/>
        <v>0.99815292594036487</v>
      </c>
      <c r="AX82">
        <f t="shared" si="46"/>
        <v>0.4585966336884772</v>
      </c>
      <c r="AY82">
        <f t="shared" si="47"/>
        <v>0.29571269634626518</v>
      </c>
      <c r="AZ82">
        <f t="shared" si="48"/>
        <v>0.24569066996525768</v>
      </c>
      <c r="BB82">
        <f t="shared" si="49"/>
        <v>0.60796892657731672</v>
      </c>
      <c r="BC82">
        <f t="shared" si="50"/>
        <v>0.3920310734226834</v>
      </c>
      <c r="BD82" s="74">
        <f t="shared" si="51"/>
        <v>0.99984702539200321</v>
      </c>
    </row>
    <row r="83" spans="1:56" x14ac:dyDescent="0.25">
      <c r="A83" t="s">
        <v>110</v>
      </c>
      <c r="B83" t="s">
        <v>3</v>
      </c>
      <c r="C83">
        <v>0.80699999999999994</v>
      </c>
      <c r="E83">
        <f>C83+output!$E$10</f>
        <v>0.72374389079265211</v>
      </c>
      <c r="G83" t="s">
        <v>135</v>
      </c>
      <c r="H83" s="52">
        <f t="shared" si="29"/>
        <v>0</v>
      </c>
      <c r="I83" s="52">
        <f t="shared" si="30"/>
        <v>1</v>
      </c>
      <c r="J83" s="52">
        <f t="shared" si="31"/>
        <v>1</v>
      </c>
      <c r="K83" s="52">
        <f t="shared" si="32"/>
        <v>0</v>
      </c>
      <c r="L83" s="53">
        <f t="shared" si="33"/>
        <v>1.3999999999999999E-2</v>
      </c>
      <c r="M83" s="55">
        <f>IF(Z83="NOTSYD",E83+L83-L$97+regcalc!P$114,E83+L83-L$97+regcalc!K$114)</f>
        <v>0.83840539853206553</v>
      </c>
      <c r="N83" s="56">
        <f t="shared" si="34"/>
        <v>1</v>
      </c>
      <c r="P83" t="str">
        <f t="shared" si="35"/>
        <v/>
      </c>
      <c r="Q83" t="str">
        <f t="shared" si="36"/>
        <v/>
      </c>
      <c r="R83" s="57">
        <f t="shared" si="37"/>
        <v>0.70565377405472829</v>
      </c>
      <c r="S83" s="56">
        <f t="shared" si="38"/>
        <v>0.9999999999969339</v>
      </c>
      <c r="Z83" t="s">
        <v>138</v>
      </c>
      <c r="AB83">
        <v>0.54200000000000004</v>
      </c>
      <c r="AC83">
        <v>4.4999999999999998E-2</v>
      </c>
      <c r="AD83">
        <v>1.6E-2</v>
      </c>
      <c r="AF83" s="57">
        <f>AB83+IF($Z83="NOTSYD",regcalc!U$112*-0.5,regcalc!U$112*0.5)+output!E$4</f>
        <v>0.4535426751592358</v>
      </c>
      <c r="AG83" s="57">
        <f>AC83+IF($Z83="NOTSYD",regcalc!T$112*-0.5,regcalc!T$112*0.5)+output!E$5</f>
        <v>0.13366850028951943</v>
      </c>
      <c r="AH83" s="57">
        <f>AD83+IF($Z83="NOTSYD",regcalc!V$112*-0.5,regcalc!V$112*0.5)+output!E$6</f>
        <v>1.9749507817023733E-2</v>
      </c>
      <c r="AI83" s="57">
        <f t="shared" si="39"/>
        <v>0.39303931673422099</v>
      </c>
      <c r="AK83" s="57">
        <f t="shared" si="40"/>
        <v>0.4535426751592358</v>
      </c>
      <c r="AL83" s="57">
        <f t="shared" si="27"/>
        <v>0.13366850028951943</v>
      </c>
      <c r="AM83" s="57">
        <f t="shared" si="28"/>
        <v>1.9749507817023733E-2</v>
      </c>
      <c r="AN83" s="57">
        <f t="shared" si="41"/>
        <v>0.39303931673422099</v>
      </c>
      <c r="AP83">
        <f>AK83+($AM83*prefs!B$2)+($AN83*prefs!C$2)</f>
        <v>0.53729443042848879</v>
      </c>
      <c r="AQ83">
        <f>AL83+($AM83*prefs!B$3)+($AN83*prefs!C$3)</f>
        <v>0.224119240387956</v>
      </c>
      <c r="AR83">
        <f t="shared" si="42"/>
        <v>0.23858632918355527</v>
      </c>
      <c r="AT83">
        <f t="shared" si="43"/>
        <v>0.70565377405472829</v>
      </c>
      <c r="AU83">
        <f t="shared" si="44"/>
        <v>0.29434622594527171</v>
      </c>
      <c r="AV83" s="56">
        <f t="shared" si="45"/>
        <v>0.9999999999969339</v>
      </c>
      <c r="AX83">
        <f t="shared" si="46"/>
        <v>0.53882484631152294</v>
      </c>
      <c r="AY83">
        <f t="shared" si="47"/>
        <v>0.23327444365373479</v>
      </c>
      <c r="AZ83">
        <f t="shared" si="48"/>
        <v>0.22790071003474233</v>
      </c>
      <c r="BB83">
        <f t="shared" si="49"/>
        <v>0.6978698896818939</v>
      </c>
      <c r="BC83">
        <f t="shared" si="50"/>
        <v>0.30213011031810622</v>
      </c>
      <c r="BD83" s="74">
        <f t="shared" si="51"/>
        <v>0.99999999998158151</v>
      </c>
    </row>
    <row r="84" spans="1:56" x14ac:dyDescent="0.25">
      <c r="A84" t="s">
        <v>111</v>
      </c>
      <c r="B84" t="s">
        <v>3</v>
      </c>
      <c r="C84">
        <v>0.73599999999999999</v>
      </c>
      <c r="E84">
        <f>C84+output!$E$10</f>
        <v>0.65274389079265216</v>
      </c>
      <c r="G84" t="s">
        <v>136</v>
      </c>
      <c r="H84" s="52">
        <f t="shared" si="29"/>
        <v>1</v>
      </c>
      <c r="I84" s="52">
        <f t="shared" si="30"/>
        <v>0</v>
      </c>
      <c r="J84" s="52">
        <f t="shared" si="31"/>
        <v>0</v>
      </c>
      <c r="K84" s="52">
        <f t="shared" si="32"/>
        <v>0</v>
      </c>
      <c r="L84" s="53">
        <f t="shared" si="33"/>
        <v>-0.01</v>
      </c>
      <c r="M84" s="55">
        <f>IF(Z84="NOTSYD",E84+L84-L$97+regcalc!P$114,E84+L84-L$97+regcalc!K$114)</f>
        <v>0.74340539853206555</v>
      </c>
      <c r="N84" s="56">
        <f t="shared" si="34"/>
        <v>0.99999999999999978</v>
      </c>
      <c r="P84" t="str">
        <f t="shared" si="35"/>
        <v/>
      </c>
      <c r="Q84" t="str">
        <f t="shared" si="36"/>
        <v/>
      </c>
      <c r="R84" s="57">
        <f t="shared" si="37"/>
        <v>0.60629326212310963</v>
      </c>
      <c r="S84" s="56">
        <f t="shared" si="38"/>
        <v>0.99981042017300747</v>
      </c>
      <c r="Z84" t="s">
        <v>138</v>
      </c>
      <c r="AB84">
        <v>0.60499999999999998</v>
      </c>
      <c r="AC84">
        <v>0.182</v>
      </c>
      <c r="AD84">
        <v>0.13400000000000001</v>
      </c>
      <c r="AF84" s="57">
        <f>AB84+IF($Z84="NOTSYD",regcalc!U$112*-0.5,regcalc!U$112*0.5)+output!E$4</f>
        <v>0.51654267515923569</v>
      </c>
      <c r="AG84" s="57">
        <f>AC84+IF($Z84="NOTSYD",regcalc!T$112*-0.5,regcalc!T$112*0.5)+output!E$5</f>
        <v>0.27066850028951939</v>
      </c>
      <c r="AH84" s="57">
        <f>AD84+IF($Z84="NOTSYD",regcalc!V$112*-0.5,regcalc!V$112*0.5)+output!E$6</f>
        <v>0.13774950781702372</v>
      </c>
      <c r="AI84" s="57">
        <f t="shared" si="39"/>
        <v>7.5039316734221151E-2</v>
      </c>
      <c r="AK84" s="57">
        <f t="shared" si="40"/>
        <v>0.51654267515923569</v>
      </c>
      <c r="AL84" s="57">
        <f t="shared" si="27"/>
        <v>0.27066850028951939</v>
      </c>
      <c r="AM84" s="57">
        <f t="shared" si="28"/>
        <v>0.13774950781702372</v>
      </c>
      <c r="AN84" s="57">
        <f t="shared" si="41"/>
        <v>7.5039316734221151E-2</v>
      </c>
      <c r="AP84">
        <f>AK84+($AM84*prefs!B$2)+($AN84*prefs!C$2)</f>
        <v>0.55276343042848874</v>
      </c>
      <c r="AQ84">
        <f>AL84+($AM84*prefs!B$3)+($AN84*prefs!C$3)</f>
        <v>0.35894624038795597</v>
      </c>
      <c r="AR84">
        <f t="shared" si="42"/>
        <v>8.8290329183555283E-2</v>
      </c>
      <c r="AT84">
        <f t="shared" si="43"/>
        <v>0.60629326212310963</v>
      </c>
      <c r="AU84">
        <f t="shared" si="44"/>
        <v>0.39370673787689031</v>
      </c>
      <c r="AV84" s="56">
        <f t="shared" si="45"/>
        <v>0.99981042017300747</v>
      </c>
      <c r="AX84">
        <f t="shared" si="46"/>
        <v>0.56050484631152286</v>
      </c>
      <c r="AY84">
        <f t="shared" si="47"/>
        <v>0.32201444365373477</v>
      </c>
      <c r="AZ84">
        <f t="shared" si="48"/>
        <v>0.11748071003474236</v>
      </c>
      <c r="BB84">
        <f t="shared" si="49"/>
        <v>0.63511908768995684</v>
      </c>
      <c r="BC84">
        <f t="shared" si="50"/>
        <v>0.36488091231004322</v>
      </c>
      <c r="BD84" s="74">
        <f t="shared" si="51"/>
        <v>0.99999687931310399</v>
      </c>
    </row>
    <row r="85" spans="1:56" x14ac:dyDescent="0.25">
      <c r="A85" t="s">
        <v>112</v>
      </c>
      <c r="B85" t="s">
        <v>3</v>
      </c>
      <c r="C85">
        <v>0.61799999999999999</v>
      </c>
      <c r="E85">
        <f>C85+output!$E$10</f>
        <v>0.53474389079265217</v>
      </c>
      <c r="G85" t="s">
        <v>136</v>
      </c>
      <c r="H85" s="52">
        <f t="shared" si="29"/>
        <v>1</v>
      </c>
      <c r="I85" s="52">
        <f t="shared" si="30"/>
        <v>0</v>
      </c>
      <c r="J85" s="52">
        <f t="shared" si="31"/>
        <v>0</v>
      </c>
      <c r="K85" s="52">
        <f t="shared" si="32"/>
        <v>0</v>
      </c>
      <c r="L85" s="53">
        <f t="shared" si="33"/>
        <v>-0.01</v>
      </c>
      <c r="M85" s="55">
        <f>IF(Z85="NOTSYD",E85+L85-L$97+regcalc!P$114,E85+L85-L$97+regcalc!K$114)</f>
        <v>0.62540539853206556</v>
      </c>
      <c r="N85" s="56">
        <f t="shared" si="34"/>
        <v>0.99998625020114784</v>
      </c>
      <c r="P85" t="str">
        <f t="shared" si="35"/>
        <v/>
      </c>
      <c r="Q85" t="str">
        <f t="shared" si="36"/>
        <v/>
      </c>
      <c r="R85" s="57">
        <f t="shared" si="37"/>
        <v>0.49381709876619484</v>
      </c>
      <c r="S85" s="56">
        <f t="shared" si="38"/>
        <v>0.41810618383737119</v>
      </c>
      <c r="Z85" t="s">
        <v>138</v>
      </c>
      <c r="AB85">
        <v>0.50600000000000001</v>
      </c>
      <c r="AC85">
        <v>0.29799999999999999</v>
      </c>
      <c r="AD85">
        <v>0.108</v>
      </c>
      <c r="AF85" s="57">
        <f>AB85+IF($Z85="NOTSYD",regcalc!U$112*-0.5,regcalc!U$112*0.5)+output!E$4</f>
        <v>0.41754267515923571</v>
      </c>
      <c r="AG85" s="57">
        <f>AC85+IF($Z85="NOTSYD",regcalc!T$112*-0.5,regcalc!T$112*0.5)+output!E$5</f>
        <v>0.38666850028951943</v>
      </c>
      <c r="AH85" s="57">
        <f>AD85+IF($Z85="NOTSYD",regcalc!V$112*-0.5,regcalc!V$112*0.5)+output!E$6</f>
        <v>0.11174950781702374</v>
      </c>
      <c r="AI85" s="57">
        <f t="shared" si="39"/>
        <v>8.4039316734221159E-2</v>
      </c>
      <c r="AK85" s="57">
        <f t="shared" si="40"/>
        <v>0.41754267515923571</v>
      </c>
      <c r="AL85" s="57">
        <f t="shared" si="27"/>
        <v>0.38666850028951943</v>
      </c>
      <c r="AM85" s="57">
        <f t="shared" si="28"/>
        <v>0.11174950781702374</v>
      </c>
      <c r="AN85" s="57">
        <f t="shared" si="41"/>
        <v>8.4039316734221159E-2</v>
      </c>
      <c r="AP85">
        <f>AK85+($AM85*prefs!B$2)+($AN85*prefs!C$2)</f>
        <v>0.45168693042848873</v>
      </c>
      <c r="AQ85">
        <f>AL85+($AM85*prefs!B$3)+($AN85*prefs!C$3)</f>
        <v>0.46299774038795605</v>
      </c>
      <c r="AR85">
        <f t="shared" si="42"/>
        <v>8.5315329183555222E-2</v>
      </c>
      <c r="AT85">
        <f t="shared" si="43"/>
        <v>0.49381709876619484</v>
      </c>
      <c r="AU85">
        <f t="shared" si="44"/>
        <v>0.50618290123380516</v>
      </c>
      <c r="AV85" s="56">
        <f t="shared" si="45"/>
        <v>0.41810618383737119</v>
      </c>
      <c r="AX85">
        <f t="shared" si="46"/>
        <v>0.45799264631152292</v>
      </c>
      <c r="AY85">
        <f t="shared" si="47"/>
        <v>0.43391234365373482</v>
      </c>
      <c r="AZ85">
        <f t="shared" si="48"/>
        <v>0.1080950100347422</v>
      </c>
      <c r="BB85">
        <f t="shared" si="49"/>
        <v>0.51349936536330287</v>
      </c>
      <c r="BC85">
        <f t="shared" si="50"/>
        <v>0.48650063463669702</v>
      </c>
      <c r="BD85" s="74">
        <f t="shared" si="51"/>
        <v>0.67414391952896857</v>
      </c>
    </row>
    <row r="86" spans="1:56" x14ac:dyDescent="0.25">
      <c r="A86" t="s">
        <v>113</v>
      </c>
      <c r="B86" t="s">
        <v>3</v>
      </c>
      <c r="C86">
        <v>0.71700000000000008</v>
      </c>
      <c r="E86">
        <f>C86+output!$E$10</f>
        <v>0.63374389079265225</v>
      </c>
      <c r="G86" t="s">
        <v>126</v>
      </c>
      <c r="H86" s="52">
        <f t="shared" si="29"/>
        <v>0</v>
      </c>
      <c r="I86" s="52">
        <f t="shared" si="30"/>
        <v>0</v>
      </c>
      <c r="J86" s="52">
        <f t="shared" si="31"/>
        <v>0</v>
      </c>
      <c r="K86" s="52">
        <f t="shared" si="32"/>
        <v>0</v>
      </c>
      <c r="L86" s="53">
        <f t="shared" si="33"/>
        <v>0</v>
      </c>
      <c r="M86" s="55">
        <f>IF(Z86="NOTSYD",E86+L86-L$97+regcalc!P$114,E86+L86-L$97+regcalc!K$114)</f>
        <v>0.73440539853206566</v>
      </c>
      <c r="N86" s="56">
        <f t="shared" si="34"/>
        <v>0.99999999999999767</v>
      </c>
      <c r="P86" t="str">
        <f t="shared" si="35"/>
        <v/>
      </c>
      <c r="Q86" t="str">
        <f t="shared" si="36"/>
        <v/>
      </c>
      <c r="R86" s="57">
        <f t="shared" si="37"/>
        <v>0.59314717448342313</v>
      </c>
      <c r="S86" s="56">
        <f t="shared" si="38"/>
        <v>0.99907905176977818</v>
      </c>
      <c r="Z86" t="s">
        <v>138</v>
      </c>
      <c r="AB86">
        <v>0.621</v>
      </c>
      <c r="AC86">
        <v>0.214</v>
      </c>
      <c r="AD86">
        <v>0.14000000000000001</v>
      </c>
      <c r="AF86" s="57">
        <f>AB86+IF($Z86="NOTSYD",regcalc!U$112*-0.5,regcalc!U$112*0.5)+output!E$4</f>
        <v>0.5325426751592357</v>
      </c>
      <c r="AG86" s="57">
        <f>AC86+IF($Z86="NOTSYD",regcalc!T$112*-0.5,regcalc!T$112*0.5)+output!E$5</f>
        <v>0.30266850028951942</v>
      </c>
      <c r="AH86" s="57">
        <f>AD86+IF($Z86="NOTSYD",regcalc!V$112*-0.5,regcalc!V$112*0.5)+output!E$6</f>
        <v>0.14374950781702373</v>
      </c>
      <c r="AI86" s="57">
        <f t="shared" si="39"/>
        <v>2.1039316734221103E-2</v>
      </c>
      <c r="AK86" s="57">
        <f t="shared" si="40"/>
        <v>0.5325426751592357</v>
      </c>
      <c r="AL86" s="57">
        <f t="shared" si="27"/>
        <v>0.30266850028951942</v>
      </c>
      <c r="AM86" s="57">
        <f t="shared" si="28"/>
        <v>0.14374950781702373</v>
      </c>
      <c r="AN86" s="57">
        <f t="shared" si="41"/>
        <v>2.1039316734221103E-2</v>
      </c>
      <c r="AP86">
        <f>AK86+($AM86*prefs!B$2)+($AN86*prefs!C$2)</f>
        <v>0.5585724304284887</v>
      </c>
      <c r="AQ86">
        <f>AL86+($AM86*prefs!B$3)+($AN86*prefs!C$3)</f>
        <v>0.38313724038795605</v>
      </c>
      <c r="AR86">
        <f t="shared" si="42"/>
        <v>5.8290329183555256E-2</v>
      </c>
      <c r="AT86">
        <f t="shared" si="43"/>
        <v>0.59314717448342313</v>
      </c>
      <c r="AU86">
        <f t="shared" si="44"/>
        <v>0.40685282551657687</v>
      </c>
      <c r="AV86" s="56">
        <f t="shared" si="45"/>
        <v>0.99907905176977818</v>
      </c>
      <c r="AX86">
        <f t="shared" si="46"/>
        <v>0.56658804631152293</v>
      </c>
      <c r="AY86">
        <f t="shared" si="47"/>
        <v>0.34243204365373481</v>
      </c>
      <c r="AZ86">
        <f t="shared" si="48"/>
        <v>9.0979910034742262E-2</v>
      </c>
      <c r="BB86">
        <f t="shared" si="49"/>
        <v>0.62329540630194169</v>
      </c>
      <c r="BC86">
        <f t="shared" si="50"/>
        <v>0.37670459369805831</v>
      </c>
      <c r="BD86" s="74">
        <f t="shared" si="51"/>
        <v>0.9999812762442345</v>
      </c>
    </row>
    <row r="87" spans="1:56" x14ac:dyDescent="0.25">
      <c r="A87" t="s">
        <v>114</v>
      </c>
      <c r="B87" t="s">
        <v>3</v>
      </c>
      <c r="C87">
        <v>0.73</v>
      </c>
      <c r="E87">
        <f>C87+output!$E$10</f>
        <v>0.64674389079265215</v>
      </c>
      <c r="G87" t="s">
        <v>136</v>
      </c>
      <c r="H87" s="52">
        <f t="shared" si="29"/>
        <v>1</v>
      </c>
      <c r="I87" s="52">
        <f t="shared" si="30"/>
        <v>0</v>
      </c>
      <c r="J87" s="52">
        <f t="shared" si="31"/>
        <v>0</v>
      </c>
      <c r="K87" s="52">
        <f t="shared" si="32"/>
        <v>0</v>
      </c>
      <c r="L87" s="53">
        <f t="shared" si="33"/>
        <v>-0.01</v>
      </c>
      <c r="M87" s="55">
        <f>IF(Z87="NOTSYD",E87+L87-L$97+regcalc!P$114,E87+L87-L$97+regcalc!K$114)</f>
        <v>0.73740539853206555</v>
      </c>
      <c r="N87" s="56">
        <f t="shared" si="34"/>
        <v>0.999999999999999</v>
      </c>
      <c r="P87" t="str">
        <f t="shared" si="35"/>
        <v/>
      </c>
      <c r="Q87" t="str">
        <f t="shared" si="36"/>
        <v/>
      </c>
      <c r="R87" s="57">
        <f t="shared" si="37"/>
        <v>0.5957010206886143</v>
      </c>
      <c r="S87" s="56">
        <f t="shared" si="38"/>
        <v>0.99931286682193821</v>
      </c>
      <c r="Z87" t="s">
        <v>138</v>
      </c>
      <c r="AB87">
        <v>0.54500000000000004</v>
      </c>
      <c r="AC87">
        <v>0.182</v>
      </c>
      <c r="AD87">
        <v>5.6000000000000001E-2</v>
      </c>
      <c r="AF87" s="57">
        <f>AB87+IF($Z87="NOTSYD",regcalc!U$112*-0.5,regcalc!U$112*0.5)+output!E$4</f>
        <v>0.4565426751592358</v>
      </c>
      <c r="AG87" s="57">
        <f>AC87+IF($Z87="NOTSYD",regcalc!T$112*-0.5,regcalc!T$112*0.5)+output!E$5</f>
        <v>0.27066850028951939</v>
      </c>
      <c r="AH87" s="57">
        <f>AD87+IF($Z87="NOTSYD",regcalc!V$112*-0.5,regcalc!V$112*0.5)+output!E$6</f>
        <v>5.9749507817023734E-2</v>
      </c>
      <c r="AI87" s="57">
        <f t="shared" si="39"/>
        <v>0.21303931673422116</v>
      </c>
      <c r="AK87" s="57">
        <f t="shared" si="40"/>
        <v>0.4565426751592358</v>
      </c>
      <c r="AL87" s="57">
        <f t="shared" si="27"/>
        <v>0.27066850028951939</v>
      </c>
      <c r="AM87" s="57">
        <f t="shared" si="28"/>
        <v>5.9749507817023734E-2</v>
      </c>
      <c r="AN87" s="57">
        <f t="shared" si="41"/>
        <v>0.21303931673422116</v>
      </c>
      <c r="AP87">
        <f>AK87+($AM87*prefs!B$2)+($AN87*prefs!C$2)</f>
        <v>0.50934443042848887</v>
      </c>
      <c r="AQ87">
        <f>AL87+($AM87*prefs!B$3)+($AN87*prefs!C$3)</f>
        <v>0.34568924038795601</v>
      </c>
      <c r="AR87">
        <f t="shared" si="42"/>
        <v>0.14496632918355512</v>
      </c>
      <c r="AT87">
        <f t="shared" si="43"/>
        <v>0.5957010206886143</v>
      </c>
      <c r="AU87">
        <f t="shared" si="44"/>
        <v>0.4042989793113857</v>
      </c>
      <c r="AV87" s="56">
        <f t="shared" si="45"/>
        <v>0.99931286682193821</v>
      </c>
      <c r="AX87">
        <f t="shared" si="46"/>
        <v>0.512900846311523</v>
      </c>
      <c r="AY87">
        <f t="shared" si="47"/>
        <v>0.33649244365373476</v>
      </c>
      <c r="AZ87">
        <f t="shared" si="48"/>
        <v>0.15060671003474224</v>
      </c>
      <c r="BB87">
        <f t="shared" si="49"/>
        <v>0.6038437698660204</v>
      </c>
      <c r="BC87">
        <f t="shared" si="50"/>
        <v>0.39615623013397966</v>
      </c>
      <c r="BD87" s="74">
        <f t="shared" si="51"/>
        <v>0.99974196639239044</v>
      </c>
    </row>
    <row r="88" spans="1:56" x14ac:dyDescent="0.25">
      <c r="A88" t="s">
        <v>115</v>
      </c>
      <c r="B88" t="s">
        <v>3</v>
      </c>
      <c r="C88">
        <v>0.81400000000000006</v>
      </c>
      <c r="E88">
        <f>C88+output!$E$10</f>
        <v>0.73074389079265223</v>
      </c>
      <c r="G88" t="s">
        <v>134</v>
      </c>
      <c r="H88" s="52">
        <f t="shared" si="29"/>
        <v>0</v>
      </c>
      <c r="I88" s="52">
        <f t="shared" si="30"/>
        <v>0</v>
      </c>
      <c r="J88" s="52">
        <f t="shared" si="31"/>
        <v>0</v>
      </c>
      <c r="K88" s="52">
        <f t="shared" si="32"/>
        <v>0</v>
      </c>
      <c r="L88" s="53">
        <f t="shared" si="33"/>
        <v>0</v>
      </c>
      <c r="M88" s="55">
        <f>IF(Z88="NOTSYD",E88+L88-L$97+regcalc!P$114,E88+L88-L$97+regcalc!K$114)</f>
        <v>0.76109655756054906</v>
      </c>
      <c r="N88" s="56">
        <f t="shared" si="34"/>
        <v>1</v>
      </c>
      <c r="P88" t="str">
        <f t="shared" si="35"/>
        <v/>
      </c>
      <c r="Q88" t="str">
        <f t="shared" si="36"/>
        <v/>
      </c>
      <c r="R88" s="57">
        <f t="shared" si="37"/>
        <v>0.71070013087223427</v>
      </c>
      <c r="S88" s="56">
        <f t="shared" si="38"/>
        <v>0.99999999999907463</v>
      </c>
      <c r="AB88">
        <v>0.69799999999999995</v>
      </c>
      <c r="AC88">
        <v>0.107</v>
      </c>
      <c r="AD88">
        <v>0.182</v>
      </c>
      <c r="AF88" s="57">
        <f>AB88+IF($Z88="NOTSYD",regcalc!U$112*-0.5,regcalc!U$112*0.5)+output!E$4</f>
        <v>0.67565732484076424</v>
      </c>
      <c r="AG88" s="57">
        <f>AC88+IF($Z88="NOTSYD",regcalc!T$112*-0.5,regcalc!T$112*0.5)+output!E$5</f>
        <v>0.19133149971048063</v>
      </c>
      <c r="AH88" s="57">
        <f>AD88+IF($Z88="NOTSYD",regcalc!V$112*-0.5,regcalc!V$112*0.5)+output!E$6</f>
        <v>0.17865049218297624</v>
      </c>
      <c r="AI88" s="57">
        <f t="shared" si="39"/>
        <v>-4.5639316734221058E-2</v>
      </c>
      <c r="AK88" s="57">
        <f t="shared" si="40"/>
        <v>0.64616671736388209</v>
      </c>
      <c r="AL88" s="57">
        <f t="shared" si="27"/>
        <v>0.18298039931020782</v>
      </c>
      <c r="AM88" s="57">
        <f t="shared" si="28"/>
        <v>0.17085288332591012</v>
      </c>
      <c r="AN88" s="57">
        <f t="shared" si="41"/>
        <v>0</v>
      </c>
      <c r="AP88">
        <f>AK88+($AM88*prefs!B$2)+($AN88*prefs!C$2)</f>
        <v>0.67196550274609457</v>
      </c>
      <c r="AQ88">
        <f>AL88+($AM88*prefs!B$3)+($AN88*prefs!C$3)</f>
        <v>0.27353242747294015</v>
      </c>
      <c r="AR88">
        <f t="shared" si="42"/>
        <v>5.4502069780965279E-2</v>
      </c>
      <c r="AT88">
        <f t="shared" si="43"/>
        <v>0.71070013087223427</v>
      </c>
      <c r="AU88">
        <f t="shared" si="44"/>
        <v>0.28929986912776579</v>
      </c>
      <c r="AV88" s="56">
        <f t="shared" si="45"/>
        <v>0.99999999999907463</v>
      </c>
      <c r="AX88">
        <f t="shared" si="46"/>
        <v>0.68146492305901507</v>
      </c>
      <c r="AY88">
        <f t="shared" si="47"/>
        <v>0.22420720005674993</v>
      </c>
      <c r="AZ88">
        <f t="shared" si="48"/>
        <v>9.4327876884235051E-2</v>
      </c>
      <c r="BB88">
        <f t="shared" si="49"/>
        <v>0.75244109392987113</v>
      </c>
      <c r="BC88">
        <f t="shared" si="50"/>
        <v>0.24755890607012898</v>
      </c>
      <c r="BD88" s="74">
        <f t="shared" si="51"/>
        <v>1</v>
      </c>
    </row>
    <row r="89" spans="1:56" x14ac:dyDescent="0.25">
      <c r="A89" t="s">
        <v>116</v>
      </c>
      <c r="B89" t="s">
        <v>3</v>
      </c>
      <c r="C89">
        <v>0.77800000000000002</v>
      </c>
      <c r="E89">
        <f>C89+output!$E$10</f>
        <v>0.6947438907926522</v>
      </c>
      <c r="G89" t="s">
        <v>126</v>
      </c>
      <c r="H89" s="52">
        <f t="shared" si="29"/>
        <v>0</v>
      </c>
      <c r="I89" s="52">
        <f t="shared" si="30"/>
        <v>0</v>
      </c>
      <c r="J89" s="52">
        <f t="shared" si="31"/>
        <v>0</v>
      </c>
      <c r="K89" s="52">
        <f t="shared" si="32"/>
        <v>0</v>
      </c>
      <c r="L89" s="53">
        <f t="shared" si="33"/>
        <v>0</v>
      </c>
      <c r="M89" s="55">
        <f>IF(Z89="NOTSYD",E89+L89-L$97+regcalc!P$114,E89+L89-L$97+regcalc!K$114)</f>
        <v>0.7954053985320656</v>
      </c>
      <c r="N89" s="56">
        <f t="shared" si="34"/>
        <v>1</v>
      </c>
      <c r="P89" t="str">
        <f t="shared" si="35"/>
        <v/>
      </c>
      <c r="Q89" t="str">
        <f t="shared" si="36"/>
        <v/>
      </c>
      <c r="R89" s="57">
        <f t="shared" si="37"/>
        <v>0.65291636585585433</v>
      </c>
      <c r="S89" s="56">
        <f t="shared" si="38"/>
        <v>0.99999984157599642</v>
      </c>
      <c r="Z89" t="s">
        <v>138</v>
      </c>
      <c r="AB89">
        <v>0.53500000000000003</v>
      </c>
      <c r="AC89">
        <v>0.10100000000000001</v>
      </c>
      <c r="AD89">
        <v>3.4000000000000002E-2</v>
      </c>
      <c r="AF89" s="57">
        <f>AB89+IF($Z89="NOTSYD",regcalc!U$112*-0.5,regcalc!U$112*0.5)+output!E$4</f>
        <v>0.44654267515923579</v>
      </c>
      <c r="AG89" s="57">
        <f>AC89+IF($Z89="NOTSYD",regcalc!T$112*-0.5,regcalc!T$112*0.5)+output!E$5</f>
        <v>0.18966850028951943</v>
      </c>
      <c r="AH89" s="57">
        <f>AD89+IF($Z89="NOTSYD",regcalc!V$112*-0.5,regcalc!V$112*0.5)+output!E$6</f>
        <v>3.7749507817023735E-2</v>
      </c>
      <c r="AI89" s="57">
        <f t="shared" si="39"/>
        <v>0.32603931673422115</v>
      </c>
      <c r="AK89" s="57">
        <f t="shared" si="40"/>
        <v>0.44654267515923579</v>
      </c>
      <c r="AL89" s="57">
        <f t="shared" si="27"/>
        <v>0.18966850028951943</v>
      </c>
      <c r="AM89" s="57">
        <f t="shared" si="28"/>
        <v>3.7749507817023735E-2</v>
      </c>
      <c r="AN89" s="57">
        <f t="shared" si="41"/>
        <v>0.32603931673422115</v>
      </c>
      <c r="AP89">
        <f>AK89+($AM89*prefs!B$2)+($AN89*prefs!C$2)</f>
        <v>0.51924393042848882</v>
      </c>
      <c r="AQ89">
        <f>AL89+($AM89*prefs!B$3)+($AN89*prefs!C$3)</f>
        <v>0.27602474038795599</v>
      </c>
      <c r="AR89">
        <f t="shared" si="42"/>
        <v>0.20473132918355519</v>
      </c>
      <c r="AT89">
        <f t="shared" si="43"/>
        <v>0.65291636585585433</v>
      </c>
      <c r="AU89">
        <f t="shared" si="44"/>
        <v>0.34708363414414573</v>
      </c>
      <c r="AV89" s="56">
        <f t="shared" si="45"/>
        <v>0.99999984157599642</v>
      </c>
      <c r="AX89">
        <f t="shared" si="46"/>
        <v>0.52170144631152304</v>
      </c>
      <c r="AY89">
        <f t="shared" si="47"/>
        <v>0.27745074365373479</v>
      </c>
      <c r="AZ89">
        <f t="shared" si="48"/>
        <v>0.20084781003474217</v>
      </c>
      <c r="BB89">
        <f t="shared" si="49"/>
        <v>0.65281864063239736</v>
      </c>
      <c r="BC89">
        <f t="shared" si="50"/>
        <v>0.34718135936760258</v>
      </c>
      <c r="BD89" s="74">
        <f t="shared" si="51"/>
        <v>0.99999983881133003</v>
      </c>
    </row>
    <row r="90" spans="1:56" x14ac:dyDescent="0.25">
      <c r="A90" t="s">
        <v>117</v>
      </c>
      <c r="B90" t="s">
        <v>3</v>
      </c>
      <c r="C90">
        <v>0.80500000000000005</v>
      </c>
      <c r="E90">
        <f>C90+output!$E$10</f>
        <v>0.72174389079265222</v>
      </c>
      <c r="G90" t="s">
        <v>126</v>
      </c>
      <c r="H90" s="52">
        <f t="shared" si="29"/>
        <v>0</v>
      </c>
      <c r="I90" s="52">
        <f t="shared" si="30"/>
        <v>0</v>
      </c>
      <c r="J90" s="52">
        <f t="shared" si="31"/>
        <v>0</v>
      </c>
      <c r="K90" s="52">
        <f t="shared" si="32"/>
        <v>0</v>
      </c>
      <c r="L90" s="53">
        <f t="shared" si="33"/>
        <v>0</v>
      </c>
      <c r="M90" s="55">
        <f>IF(Z90="NOTSYD",E90+L90-L$97+regcalc!P$114,E90+L90-L$97+regcalc!K$114)</f>
        <v>0.75209655756054905</v>
      </c>
      <c r="N90" s="56">
        <f t="shared" si="34"/>
        <v>1</v>
      </c>
      <c r="P90" t="str">
        <f t="shared" si="35"/>
        <v/>
      </c>
      <c r="Q90" t="str">
        <f t="shared" si="36"/>
        <v/>
      </c>
      <c r="R90" s="57">
        <f t="shared" si="37"/>
        <v>0.70475514528205929</v>
      </c>
      <c r="S90" s="56">
        <f t="shared" si="38"/>
        <v>0.99999999999621603</v>
      </c>
      <c r="AB90">
        <v>0.69399999999999995</v>
      </c>
      <c r="AC90">
        <v>0.13</v>
      </c>
      <c r="AD90">
        <v>0.14699999999999999</v>
      </c>
      <c r="AF90" s="57">
        <f>AB90+IF($Z90="NOTSYD",regcalc!U$112*-0.5,regcalc!U$112*0.5)+output!E$4</f>
        <v>0.67165732484076424</v>
      </c>
      <c r="AG90" s="57">
        <f>AC90+IF($Z90="NOTSYD",regcalc!T$112*-0.5,regcalc!T$112*0.5)+output!E$5</f>
        <v>0.21433149971048063</v>
      </c>
      <c r="AH90" s="57">
        <f>AD90+IF($Z90="NOTSYD",regcalc!V$112*-0.5,regcalc!V$112*0.5)+output!E$6</f>
        <v>0.14365049218297626</v>
      </c>
      <c r="AI90" s="57">
        <f t="shared" si="39"/>
        <v>-2.9639316734221044E-2</v>
      </c>
      <c r="AK90" s="57">
        <f t="shared" si="40"/>
        <v>0.65232291922486674</v>
      </c>
      <c r="AL90" s="57">
        <f t="shared" si="27"/>
        <v>0.20816172831306679</v>
      </c>
      <c r="AM90" s="57">
        <f t="shared" si="28"/>
        <v>0.13951535246206659</v>
      </c>
      <c r="AN90" s="57">
        <f t="shared" si="41"/>
        <v>0</v>
      </c>
      <c r="AP90">
        <f>AK90+($AM90*prefs!B$2)+($AN90*prefs!C$2)</f>
        <v>0.67338973744663877</v>
      </c>
      <c r="AQ90">
        <f>AL90+($AM90*prefs!B$3)+($AN90*prefs!C$3)</f>
        <v>0.28210486511796207</v>
      </c>
      <c r="AR90">
        <f t="shared" si="42"/>
        <v>4.4505397435399163E-2</v>
      </c>
      <c r="AT90">
        <f t="shared" si="43"/>
        <v>0.70475514528205929</v>
      </c>
      <c r="AU90">
        <f t="shared" si="44"/>
        <v>0.29524485471794071</v>
      </c>
      <c r="AV90" s="56">
        <f t="shared" si="45"/>
        <v>0.99999999999621603</v>
      </c>
      <c r="AX90">
        <f t="shared" si="46"/>
        <v>0.68114679104352971</v>
      </c>
      <c r="AY90">
        <f t="shared" si="47"/>
        <v>0.24182678286216344</v>
      </c>
      <c r="AZ90">
        <f t="shared" si="48"/>
        <v>7.7026426094306877E-2</v>
      </c>
      <c r="BB90">
        <f t="shared" si="49"/>
        <v>0.73799165035804959</v>
      </c>
      <c r="BC90">
        <f t="shared" si="50"/>
        <v>0.26200834964195047</v>
      </c>
      <c r="BD90" s="74">
        <f t="shared" si="51"/>
        <v>0.99999999999999911</v>
      </c>
    </row>
    <row r="91" spans="1:56" x14ac:dyDescent="0.25">
      <c r="A91" s="50" t="s">
        <v>118</v>
      </c>
      <c r="B91" t="s">
        <v>4</v>
      </c>
      <c r="C91">
        <v>0.43700000000000006</v>
      </c>
      <c r="E91">
        <f>C91+output!$E$10</f>
        <v>0.35374389079265223</v>
      </c>
      <c r="G91" t="s">
        <v>129</v>
      </c>
      <c r="H91" s="52">
        <f t="shared" si="29"/>
        <v>0</v>
      </c>
      <c r="I91" s="52">
        <f t="shared" si="30"/>
        <v>0</v>
      </c>
      <c r="J91" s="52">
        <f t="shared" si="31"/>
        <v>0</v>
      </c>
      <c r="K91" s="52">
        <f t="shared" si="32"/>
        <v>0</v>
      </c>
      <c r="L91" s="53">
        <f t="shared" si="33"/>
        <v>0</v>
      </c>
      <c r="M91" s="55">
        <f>IF(Z91="NOTSYD",E91+L91-L$97+regcalc!P$114,E91+L91-L$97+regcalc!K$114)</f>
        <v>0.45440539853206557</v>
      </c>
      <c r="N91" s="56">
        <f t="shared" si="34"/>
        <v>6.368330897746155E-2</v>
      </c>
      <c r="P91" t="str">
        <f t="shared" si="35"/>
        <v/>
      </c>
      <c r="Q91" t="str">
        <f t="shared" si="36"/>
        <v>X</v>
      </c>
      <c r="R91" s="57">
        <f t="shared" si="37"/>
        <v>0.31452486382180433</v>
      </c>
      <c r="S91" s="56">
        <f t="shared" si="38"/>
        <v>2.7906388311293995E-10</v>
      </c>
      <c r="Z91" t="s">
        <v>138</v>
      </c>
      <c r="AB91">
        <v>0.28999999999999998</v>
      </c>
      <c r="AC91">
        <v>0.38900000000000001</v>
      </c>
      <c r="AD91">
        <v>8.5999999999999993E-2</v>
      </c>
      <c r="AF91" s="57">
        <f>AB91+IF($Z91="NOTSYD",regcalc!U$112*-0.5,regcalc!U$112*0.5)+output!E$4</f>
        <v>0.20154267515923568</v>
      </c>
      <c r="AG91" s="57">
        <f>AC91+IF($Z91="NOTSYD",regcalc!T$112*-0.5,regcalc!T$112*0.5)+output!E$5</f>
        <v>0.47766850028951946</v>
      </c>
      <c r="AH91" s="57">
        <f>AD91+IF($Z91="NOTSYD",regcalc!V$112*-0.5,regcalc!V$112*0.5)+output!E$6</f>
        <v>8.9749507817023733E-2</v>
      </c>
      <c r="AI91" s="57">
        <f t="shared" si="39"/>
        <v>0.23103931673422118</v>
      </c>
      <c r="AK91" s="57">
        <f t="shared" si="40"/>
        <v>0.20154267515923568</v>
      </c>
      <c r="AL91" s="57">
        <f t="shared" si="27"/>
        <v>0.47766850028951946</v>
      </c>
      <c r="AM91" s="57">
        <f t="shared" si="28"/>
        <v>8.9749507817023733E-2</v>
      </c>
      <c r="AN91" s="57">
        <f t="shared" si="41"/>
        <v>0.23103931673422118</v>
      </c>
      <c r="AP91">
        <f>AK91+($AM91*prefs!B$2)+($AN91*prefs!C$2)</f>
        <v>0.26257343042848874</v>
      </c>
      <c r="AQ91">
        <f>AL91+($AM91*prefs!B$3)+($AN91*prefs!C$3)</f>
        <v>0.57225224038795608</v>
      </c>
      <c r="AR91">
        <f t="shared" si="42"/>
        <v>0.16517432918355524</v>
      </c>
      <c r="AT91">
        <f t="shared" si="43"/>
        <v>0.31452486382180433</v>
      </c>
      <c r="AU91">
        <f t="shared" si="44"/>
        <v>0.68547513617819578</v>
      </c>
      <c r="AV91" s="56">
        <f t="shared" si="45"/>
        <v>2.7906388311293995E-10</v>
      </c>
      <c r="AX91">
        <f t="shared" si="46"/>
        <v>0.26781764631152288</v>
      </c>
      <c r="AY91">
        <f t="shared" si="47"/>
        <v>0.55507484365373483</v>
      </c>
      <c r="AZ91">
        <f t="shared" si="48"/>
        <v>0.17710751003474234</v>
      </c>
      <c r="BB91">
        <f t="shared" si="49"/>
        <v>0.32545885346800296</v>
      </c>
      <c r="BC91">
        <f t="shared" si="50"/>
        <v>0.67454114653199715</v>
      </c>
      <c r="BD91" s="74">
        <f t="shared" si="51"/>
        <v>2.6699513711037071E-9</v>
      </c>
    </row>
    <row r="92" spans="1:56" x14ac:dyDescent="0.25">
      <c r="A92" t="s">
        <v>119</v>
      </c>
      <c r="B92" t="s">
        <v>3</v>
      </c>
      <c r="C92">
        <v>0.80400000000000005</v>
      </c>
      <c r="E92">
        <f>C92+output!$E$10</f>
        <v>0.72074389079265222</v>
      </c>
      <c r="G92" t="s">
        <v>126</v>
      </c>
      <c r="H92" s="52">
        <f t="shared" si="29"/>
        <v>0</v>
      </c>
      <c r="I92" s="52">
        <f t="shared" si="30"/>
        <v>0</v>
      </c>
      <c r="J92" s="52">
        <f t="shared" si="31"/>
        <v>0</v>
      </c>
      <c r="K92" s="52">
        <f t="shared" si="32"/>
        <v>0</v>
      </c>
      <c r="L92" s="53">
        <f t="shared" si="33"/>
        <v>0</v>
      </c>
      <c r="M92" s="55">
        <f>IF(Z92="NOTSYD",E92+L92-L$97+regcalc!P$114,E92+L92-L$97+regcalc!K$114)</f>
        <v>0.75109655756054905</v>
      </c>
      <c r="N92" s="56">
        <f t="shared" si="34"/>
        <v>1</v>
      </c>
      <c r="P92" t="str">
        <f t="shared" si="35"/>
        <v/>
      </c>
      <c r="Q92" t="str">
        <f t="shared" si="36"/>
        <v/>
      </c>
      <c r="R92" s="57">
        <f t="shared" si="37"/>
        <v>0.70301411168445194</v>
      </c>
      <c r="S92" s="56">
        <f t="shared" si="38"/>
        <v>0.99999999999432621</v>
      </c>
      <c r="AB92">
        <v>0.68899999999999995</v>
      </c>
      <c r="AC92">
        <v>0.121</v>
      </c>
      <c r="AD92">
        <v>0.16700000000000001</v>
      </c>
      <c r="AF92" s="57">
        <f>AB92+IF($Z92="NOTSYD",regcalc!U$112*-0.5,regcalc!U$112*0.5)+output!E$4</f>
        <v>0.66665732484076434</v>
      </c>
      <c r="AG92" s="57">
        <f>AC92+IF($Z92="NOTSYD",regcalc!T$112*-0.5,regcalc!T$112*0.5)+output!E$5</f>
        <v>0.20533149971048062</v>
      </c>
      <c r="AH92" s="57">
        <f>AD92+IF($Z92="NOTSYD",regcalc!V$112*-0.5,regcalc!V$112*0.5)+output!E$6</f>
        <v>0.16365049218297628</v>
      </c>
      <c r="AI92" s="57">
        <f t="shared" si="39"/>
        <v>-3.5639316734221271E-2</v>
      </c>
      <c r="AK92" s="57">
        <f t="shared" si="40"/>
        <v>0.64371573584421027</v>
      </c>
      <c r="AL92" s="57">
        <f t="shared" si="27"/>
        <v>0.19826545438422685</v>
      </c>
      <c r="AM92" s="57">
        <f t="shared" si="28"/>
        <v>0.15801880977156288</v>
      </c>
      <c r="AN92" s="57">
        <f t="shared" si="41"/>
        <v>0</v>
      </c>
      <c r="AP92">
        <f>AK92+($AM92*prefs!B$2)+($AN92*prefs!C$2)</f>
        <v>0.66757657611971621</v>
      </c>
      <c r="AQ92">
        <f>AL92+($AM92*prefs!B$3)+($AN92*prefs!C$3)</f>
        <v>0.28201542356315518</v>
      </c>
      <c r="AR92">
        <f t="shared" si="42"/>
        <v>5.0408000317128554E-2</v>
      </c>
      <c r="AT92">
        <f t="shared" si="43"/>
        <v>0.70301411168445194</v>
      </c>
      <c r="AU92">
        <f t="shared" si="44"/>
        <v>0.29698588831554801</v>
      </c>
      <c r="AV92" s="56">
        <f t="shared" si="45"/>
        <v>0.99999999999432621</v>
      </c>
      <c r="AX92">
        <f t="shared" si="46"/>
        <v>0.6763624219430151</v>
      </c>
      <c r="AY92">
        <f t="shared" si="47"/>
        <v>0.23639539318210498</v>
      </c>
      <c r="AZ92">
        <f t="shared" si="48"/>
        <v>8.7242184874879891E-2</v>
      </c>
      <c r="BB92">
        <f t="shared" si="49"/>
        <v>0.74100972978281199</v>
      </c>
      <c r="BC92">
        <f t="shared" si="50"/>
        <v>0.25899027021718801</v>
      </c>
      <c r="BD92" s="74">
        <f t="shared" si="51"/>
        <v>0.99999999999999967</v>
      </c>
    </row>
    <row r="93" spans="1:56" x14ac:dyDescent="0.25">
      <c r="A93" t="s">
        <v>120</v>
      </c>
      <c r="B93" t="s">
        <v>3</v>
      </c>
      <c r="C93">
        <v>0.71599999999999997</v>
      </c>
      <c r="E93">
        <f>C93+output!$E$10</f>
        <v>0.63274389079265214</v>
      </c>
      <c r="G93" t="s">
        <v>135</v>
      </c>
      <c r="H93" s="52">
        <f t="shared" si="29"/>
        <v>0</v>
      </c>
      <c r="I93" s="52">
        <f t="shared" si="30"/>
        <v>1</v>
      </c>
      <c r="J93" s="52">
        <f t="shared" si="31"/>
        <v>1</v>
      </c>
      <c r="K93" s="52">
        <f t="shared" si="32"/>
        <v>1</v>
      </c>
      <c r="L93" s="53">
        <f t="shared" si="33"/>
        <v>2.1999999999999999E-2</v>
      </c>
      <c r="M93" s="55">
        <f>IF(Z93="NOTSYD",E93+L93-L$97+regcalc!P$114,E93+L93-L$97+regcalc!K$114)</f>
        <v>0.68509655756054899</v>
      </c>
      <c r="N93" s="56">
        <f t="shared" si="34"/>
        <v>0.99999999969758013</v>
      </c>
      <c r="P93" t="str">
        <f t="shared" si="35"/>
        <v/>
      </c>
      <c r="Q93" t="str">
        <f t="shared" si="36"/>
        <v/>
      </c>
      <c r="R93" s="57">
        <f t="shared" si="37"/>
        <v>0.62969141528735784</v>
      </c>
      <c r="S93" s="56">
        <f t="shared" si="38"/>
        <v>0.99999276335533827</v>
      </c>
      <c r="AB93">
        <v>0.55800000000000005</v>
      </c>
      <c r="AC93">
        <v>0.19</v>
      </c>
      <c r="AD93">
        <v>7.2999999999999995E-2</v>
      </c>
      <c r="AF93" s="57">
        <f>AB93+IF($Z93="NOTSYD",regcalc!U$112*-0.5,regcalc!U$112*0.5)+output!E$4</f>
        <v>0.53565732484076434</v>
      </c>
      <c r="AG93" s="57">
        <f>AC93+IF($Z93="NOTSYD",regcalc!T$112*-0.5,regcalc!T$112*0.5)+output!E$5</f>
        <v>0.27433149971048065</v>
      </c>
      <c r="AH93" s="57">
        <f>AD93+IF($Z93="NOTSYD",regcalc!V$112*-0.5,regcalc!V$112*0.5)+output!E$6</f>
        <v>6.965049218297624E-2</v>
      </c>
      <c r="AI93" s="57">
        <f t="shared" si="39"/>
        <v>0.12036068326577876</v>
      </c>
      <c r="AK93" s="57">
        <f t="shared" si="40"/>
        <v>0.53565732484076434</v>
      </c>
      <c r="AL93" s="57">
        <f t="shared" si="27"/>
        <v>0.27433149971048065</v>
      </c>
      <c r="AM93" s="57">
        <f t="shared" si="28"/>
        <v>6.965049218297624E-2</v>
      </c>
      <c r="AN93" s="57">
        <f t="shared" si="41"/>
        <v>0.12036068326577876</v>
      </c>
      <c r="AP93">
        <f>AK93+($AM93*prefs!B$2)+($AN93*prefs!C$2)</f>
        <v>0.57090866957151132</v>
      </c>
      <c r="AQ93">
        <f>AL93+($AM93*prefs!B$3)+($AN93*prefs!C$3)</f>
        <v>0.33573965961204405</v>
      </c>
      <c r="AR93">
        <f t="shared" si="42"/>
        <v>9.3351670816444576E-2</v>
      </c>
      <c r="AT93">
        <f t="shared" si="43"/>
        <v>0.62969141528735784</v>
      </c>
      <c r="AU93">
        <f t="shared" si="44"/>
        <v>0.37030858471264211</v>
      </c>
      <c r="AV93" s="56">
        <f t="shared" si="45"/>
        <v>0.99999276335533827</v>
      </c>
      <c r="AX93">
        <f t="shared" si="46"/>
        <v>0.57491363368847714</v>
      </c>
      <c r="AY93">
        <f t="shared" si="47"/>
        <v>0.32018119634626524</v>
      </c>
      <c r="AZ93">
        <f t="shared" si="48"/>
        <v>0.10490516996525767</v>
      </c>
      <c r="BB93">
        <f t="shared" si="49"/>
        <v>0.64229354745146094</v>
      </c>
      <c r="BC93">
        <f t="shared" si="50"/>
        <v>0.35770645254853911</v>
      </c>
      <c r="BD93" s="74">
        <f t="shared" si="51"/>
        <v>0.99999902210298552</v>
      </c>
    </row>
    <row r="94" spans="1:56" x14ac:dyDescent="0.25">
      <c r="A94" s="50" t="s">
        <v>121</v>
      </c>
      <c r="B94" t="s">
        <v>4</v>
      </c>
      <c r="C94">
        <v>0.40700000000000003</v>
      </c>
      <c r="E94">
        <f>C94+output!$E$10</f>
        <v>0.3237438907926522</v>
      </c>
      <c r="G94" t="s">
        <v>129</v>
      </c>
      <c r="H94" s="52">
        <f t="shared" si="29"/>
        <v>0</v>
      </c>
      <c r="I94" s="52">
        <f t="shared" si="30"/>
        <v>0</v>
      </c>
      <c r="J94" s="52">
        <f t="shared" si="31"/>
        <v>0</v>
      </c>
      <c r="K94" s="52">
        <f t="shared" si="32"/>
        <v>0</v>
      </c>
      <c r="L94" s="53">
        <f t="shared" si="33"/>
        <v>0</v>
      </c>
      <c r="M94" s="55">
        <f>IF(Z94="NOTSYD",E94+L94-L$97+regcalc!P$114,E94+L94-L$97+regcalc!K$114)</f>
        <v>0.42440539853206555</v>
      </c>
      <c r="N94" s="56">
        <f t="shared" si="34"/>
        <v>5.7407220609178022E-3</v>
      </c>
      <c r="P94" t="str">
        <f t="shared" si="35"/>
        <v/>
      </c>
      <c r="Q94" t="str">
        <f t="shared" si="36"/>
        <v/>
      </c>
      <c r="R94" s="57">
        <f t="shared" si="37"/>
        <v>0.26165888774560564</v>
      </c>
      <c r="S94" s="56">
        <f t="shared" si="38"/>
        <v>7.7715611723760958E-16</v>
      </c>
      <c r="Z94" t="s">
        <v>138</v>
      </c>
      <c r="AB94">
        <v>0.21099999999999999</v>
      </c>
      <c r="AC94">
        <v>0.36699999999999999</v>
      </c>
      <c r="AD94">
        <v>9.8000000000000004E-2</v>
      </c>
      <c r="AF94" s="57">
        <f>AB94+IF($Z94="NOTSYD",regcalc!U$112*-0.5,regcalc!U$112*0.5)+output!E$4</f>
        <v>0.12254267515923573</v>
      </c>
      <c r="AG94" s="57">
        <f>AC94+IF($Z94="NOTSYD",regcalc!T$112*-0.5,regcalc!T$112*0.5)+output!E$5</f>
        <v>0.45566850028951944</v>
      </c>
      <c r="AH94" s="57">
        <f>AD94+IF($Z94="NOTSYD",regcalc!V$112*-0.5,regcalc!V$112*0.5)+output!E$6</f>
        <v>0.10174950781702374</v>
      </c>
      <c r="AI94" s="57">
        <f t="shared" si="39"/>
        <v>0.32003931673422115</v>
      </c>
      <c r="AK94" s="57">
        <f t="shared" si="40"/>
        <v>0.12254267515923573</v>
      </c>
      <c r="AL94" s="57">
        <f t="shared" si="27"/>
        <v>0.45566850028951944</v>
      </c>
      <c r="AM94" s="57">
        <f t="shared" si="28"/>
        <v>0.10174950781702374</v>
      </c>
      <c r="AN94" s="57">
        <f t="shared" si="41"/>
        <v>0.32003931673422115</v>
      </c>
      <c r="AP94">
        <f>AK94+($AM94*prefs!B$2)+($AN94*prefs!C$2)</f>
        <v>0.20367493042848875</v>
      </c>
      <c r="AQ94">
        <f>AL94+($AM94*prefs!B$3)+($AN94*prefs!C$3)</f>
        <v>0.57472374038795604</v>
      </c>
      <c r="AR94">
        <f t="shared" si="42"/>
        <v>0.22160132918355524</v>
      </c>
      <c r="AT94">
        <f t="shared" si="43"/>
        <v>0.26165888774560564</v>
      </c>
      <c r="AU94">
        <f t="shared" si="44"/>
        <v>0.73834111225439436</v>
      </c>
      <c r="AV94" s="56">
        <f t="shared" si="45"/>
        <v>7.7715611723760958E-16</v>
      </c>
      <c r="AX94">
        <f t="shared" si="46"/>
        <v>0.20968424631152294</v>
      </c>
      <c r="AY94">
        <f t="shared" si="47"/>
        <v>0.55744614365373479</v>
      </c>
      <c r="AZ94">
        <f t="shared" si="48"/>
        <v>0.23286961003474227</v>
      </c>
      <c r="BB94">
        <f t="shared" si="49"/>
        <v>0.27333586187482317</v>
      </c>
      <c r="BC94">
        <f t="shared" si="50"/>
        <v>0.72666413812517683</v>
      </c>
      <c r="BD94" s="74">
        <f t="shared" si="51"/>
        <v>1.7430501486614958E-14</v>
      </c>
    </row>
    <row r="95" spans="1:56" x14ac:dyDescent="0.25">
      <c r="A95" t="s">
        <v>122</v>
      </c>
      <c r="B95" t="s">
        <v>3</v>
      </c>
      <c r="C95">
        <v>0.54600000000000004</v>
      </c>
      <c r="E95">
        <f>C95+output!$E$10</f>
        <v>0.46274389079265221</v>
      </c>
      <c r="G95" t="s">
        <v>136</v>
      </c>
      <c r="H95" s="52">
        <f t="shared" si="29"/>
        <v>1</v>
      </c>
      <c r="I95" s="52">
        <f t="shared" si="30"/>
        <v>0</v>
      </c>
      <c r="J95" s="52">
        <f t="shared" si="31"/>
        <v>0</v>
      </c>
      <c r="K95" s="52">
        <f t="shared" si="32"/>
        <v>0</v>
      </c>
      <c r="L95" s="53">
        <f t="shared" si="33"/>
        <v>-0.01</v>
      </c>
      <c r="M95" s="55">
        <f>IF(Z95="NOTSYD",E95+L95-L$97+regcalc!P$114,E95+L95-L$97+regcalc!K$114)</f>
        <v>0.5534053985320655</v>
      </c>
      <c r="N95" s="56">
        <f t="shared" si="34"/>
        <v>0.96292952138221721</v>
      </c>
      <c r="P95" t="str">
        <f t="shared" si="35"/>
        <v/>
      </c>
      <c r="Q95" t="str">
        <f t="shared" si="36"/>
        <v/>
      </c>
      <c r="R95" s="57">
        <f t="shared" si="37"/>
        <v>0.43385421903912968</v>
      </c>
      <c r="S95" s="56">
        <f t="shared" si="38"/>
        <v>1.349200842844922E-2</v>
      </c>
      <c r="Z95" t="s">
        <v>138</v>
      </c>
      <c r="AB95">
        <v>0.47199999999999998</v>
      </c>
      <c r="AC95">
        <v>0.379</v>
      </c>
      <c r="AD95">
        <v>0.10299999999999999</v>
      </c>
      <c r="AF95" s="57">
        <f>AB95+IF($Z95="NOTSYD",regcalc!U$112*-0.5,regcalc!U$112*0.5)+output!E$4</f>
        <v>0.38354267515923568</v>
      </c>
      <c r="AG95" s="57">
        <f>AC95+IF($Z95="NOTSYD",regcalc!T$112*-0.5,regcalc!T$112*0.5)+output!E$5</f>
        <v>0.46766850028951945</v>
      </c>
      <c r="AH95" s="57">
        <f>AD95+IF($Z95="NOTSYD",regcalc!V$112*-0.5,regcalc!V$112*0.5)+output!E$6</f>
        <v>0.10674950781702373</v>
      </c>
      <c r="AI95" s="57">
        <f t="shared" si="39"/>
        <v>4.2039316734221122E-2</v>
      </c>
      <c r="AK95" s="57">
        <f t="shared" si="40"/>
        <v>0.38354267515923568</v>
      </c>
      <c r="AL95" s="57">
        <f t="shared" si="27"/>
        <v>0.46766850028951945</v>
      </c>
      <c r="AM95" s="57">
        <f t="shared" si="28"/>
        <v>0.10674950781702373</v>
      </c>
      <c r="AN95" s="57">
        <f t="shared" si="41"/>
        <v>4.2039316734221122E-2</v>
      </c>
      <c r="AP95">
        <f>AK95+($AM95*prefs!B$2)+($AN95*prefs!C$2)</f>
        <v>0.4083009304284887</v>
      </c>
      <c r="AQ95">
        <f>AL95+($AM95*prefs!B$3)+($AN95*prefs!C$3)</f>
        <v>0.532800740387956</v>
      </c>
      <c r="AR95">
        <f t="shared" si="42"/>
        <v>5.8898329183555309E-2</v>
      </c>
      <c r="AT95">
        <f t="shared" si="43"/>
        <v>0.43385421903912968</v>
      </c>
      <c r="AU95">
        <f t="shared" si="44"/>
        <v>0.56614578096087032</v>
      </c>
      <c r="AV95" s="56">
        <f t="shared" si="45"/>
        <v>1.349200842844922E-2</v>
      </c>
      <c r="AX95">
        <f t="shared" si="46"/>
        <v>0.41428244631152289</v>
      </c>
      <c r="AY95">
        <f t="shared" si="47"/>
        <v>0.50357124365373485</v>
      </c>
      <c r="AZ95">
        <f t="shared" si="48"/>
        <v>8.2146310034742265E-2</v>
      </c>
      <c r="BB95">
        <f t="shared" si="49"/>
        <v>0.45136000523918379</v>
      </c>
      <c r="BC95">
        <f t="shared" si="50"/>
        <v>0.54863999476081626</v>
      </c>
      <c r="BD95" s="74">
        <f t="shared" si="51"/>
        <v>5.1932361734649546E-2</v>
      </c>
    </row>
    <row r="97" spans="3:56" x14ac:dyDescent="0.25">
      <c r="C97">
        <f>AVERAGE(C3:C95)</f>
        <v>0.63840860215053752</v>
      </c>
      <c r="L97" s="59">
        <f>SUM(L3:L95)/93</f>
        <v>3.6774193548387087E-3</v>
      </c>
      <c r="M97" s="59">
        <f>SUM(M3:M95)/93</f>
        <v>0.61866693173140019</v>
      </c>
      <c r="N97" s="64">
        <f>SUM(N3:N95)</f>
        <v>66.306845786289912</v>
      </c>
      <c r="S97" s="64">
        <f>SUM(S3:S95)</f>
        <v>52.364124686898037</v>
      </c>
      <c r="Z97">
        <f>COUNTIF(Z3:Z95,"NOTSYD")</f>
        <v>39</v>
      </c>
      <c r="AE97" s="57"/>
      <c r="AF97" s="57"/>
      <c r="AG97" s="57"/>
      <c r="AH97" s="57"/>
      <c r="AI97" s="57"/>
      <c r="AV97" s="64">
        <f>SUM(AV3:AV95)</f>
        <v>53.363141463947606</v>
      </c>
      <c r="BD97" s="64">
        <f>SUM(BD3:BD95)</f>
        <v>56.221931436622476</v>
      </c>
    </row>
    <row r="98" spans="3:56" x14ac:dyDescent="0.25">
      <c r="L98" s="57"/>
    </row>
    <row r="99" spans="3:56" x14ac:dyDescent="0.25">
      <c r="S99" s="64">
        <f>N97-S97</f>
        <v>13.942721099391875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9"/>
  <sheetViews>
    <sheetView workbookViewId="0">
      <pane xSplit="1" ySplit="2" topLeftCell="B88" activePane="bottomRight" state="frozen"/>
      <selection pane="topRight" activeCell="B1" sqref="B1"/>
      <selection pane="bottomLeft" activeCell="A2" sqref="A2"/>
      <selection pane="bottomRight" activeCell="T112" sqref="T112:V112"/>
    </sheetView>
  </sheetViews>
  <sheetFormatPr defaultRowHeight="15" x14ac:dyDescent="0.25"/>
  <cols>
    <col min="1" max="1" width="25.7109375" bestFit="1" customWidth="1"/>
  </cols>
  <sheetData>
    <row r="1" spans="1:22" x14ac:dyDescent="0.25">
      <c r="H1" t="s">
        <v>146</v>
      </c>
      <c r="M1" t="s">
        <v>148</v>
      </c>
      <c r="R1" t="s">
        <v>171</v>
      </c>
      <c r="T1" t="s">
        <v>178</v>
      </c>
    </row>
    <row r="2" spans="1:22" x14ac:dyDescent="0.25">
      <c r="B2" t="s">
        <v>4</v>
      </c>
      <c r="C2" t="s">
        <v>3</v>
      </c>
      <c r="D2" t="s">
        <v>5</v>
      </c>
      <c r="E2" s="62" t="s">
        <v>170</v>
      </c>
      <c r="H2" t="s">
        <v>4</v>
      </c>
      <c r="I2" t="s">
        <v>3</v>
      </c>
      <c r="J2" t="s">
        <v>5</v>
      </c>
      <c r="K2" t="s">
        <v>8</v>
      </c>
      <c r="M2" t="s">
        <v>4</v>
      </c>
      <c r="N2" t="s">
        <v>3</v>
      </c>
      <c r="O2" t="s">
        <v>5</v>
      </c>
      <c r="P2" t="s">
        <v>8</v>
      </c>
      <c r="T2" t="s">
        <v>4</v>
      </c>
      <c r="U2" t="s">
        <v>3</v>
      </c>
      <c r="V2" t="s">
        <v>5</v>
      </c>
    </row>
    <row r="3" spans="1:22" x14ac:dyDescent="0.25">
      <c r="A3" t="s">
        <v>30</v>
      </c>
      <c r="B3">
        <v>0.1524707412223667</v>
      </c>
      <c r="C3">
        <v>0.58341277407054337</v>
      </c>
      <c r="D3">
        <v>4.1092288622619537E-2</v>
      </c>
      <c r="E3" s="57">
        <v>0.76866854762864434</v>
      </c>
      <c r="F3" t="s">
        <v>138</v>
      </c>
      <c r="H3" t="str">
        <f t="shared" ref="H3:H34" si="0">IF($F3&lt;&gt;"NOTSYD",B3,"")</f>
        <v/>
      </c>
      <c r="I3" t="str">
        <f t="shared" ref="I3:I34" si="1">IF($F3&lt;&gt;"NOTSYD",C3,"")</f>
        <v/>
      </c>
      <c r="J3" t="str">
        <f t="shared" ref="J3:J34" si="2">IF($F3&lt;&gt;"NOTSYD",D3,"")</f>
        <v/>
      </c>
      <c r="K3" t="str">
        <f t="shared" ref="K3:K34" si="3">IF($F3&lt;&gt;"NOTSYD",E3,"")</f>
        <v/>
      </c>
      <c r="M3">
        <f t="shared" ref="M3:M34" si="4">IF($F3="NOTSYD",B3,"")</f>
        <v>0.1524707412223667</v>
      </c>
      <c r="N3">
        <f t="shared" ref="N3:N34" si="5">IF($F3="NOTSYD",C3,"")</f>
        <v>0.58341277407054337</v>
      </c>
      <c r="O3">
        <f t="shared" ref="O3:O34" si="6">IF($F3="NOTSYD",D3,"")</f>
        <v>4.1092288622619537E-2</v>
      </c>
      <c r="P3">
        <f t="shared" ref="P3:P34" si="7">IF($F3="NOTSYD",E3,"")</f>
        <v>0.76866854762864434</v>
      </c>
    </row>
    <row r="4" spans="1:22" x14ac:dyDescent="0.25">
      <c r="A4" t="s">
        <v>31</v>
      </c>
      <c r="B4">
        <v>0.47317945383615084</v>
      </c>
      <c r="C4">
        <v>0.31389806460194647</v>
      </c>
      <c r="D4">
        <v>5.5760057093490592E-2</v>
      </c>
      <c r="E4" s="57">
        <v>0.41515399004136261</v>
      </c>
      <c r="H4">
        <f t="shared" si="0"/>
        <v>0.47317945383615084</v>
      </c>
      <c r="I4">
        <f t="shared" si="1"/>
        <v>0.31389806460194647</v>
      </c>
      <c r="J4">
        <f t="shared" si="2"/>
        <v>5.5760057093490592E-2</v>
      </c>
      <c r="K4">
        <f t="shared" si="3"/>
        <v>0.41515399004136261</v>
      </c>
      <c r="M4" t="str">
        <f t="shared" si="4"/>
        <v/>
      </c>
      <c r="N4" t="str">
        <f t="shared" si="5"/>
        <v/>
      </c>
      <c r="O4" t="str">
        <f t="shared" si="6"/>
        <v/>
      </c>
      <c r="P4" t="str">
        <f t="shared" si="7"/>
        <v/>
      </c>
    </row>
    <row r="5" spans="1:22" x14ac:dyDescent="0.25">
      <c r="A5" t="s">
        <v>32</v>
      </c>
      <c r="B5">
        <v>0.11687256176853056</v>
      </c>
      <c r="C5">
        <v>0.5075004747135895</v>
      </c>
      <c r="D5">
        <v>0.17201292115839686</v>
      </c>
      <c r="E5" s="57">
        <v>0.75162035732401511</v>
      </c>
      <c r="F5" t="s">
        <v>138</v>
      </c>
      <c r="H5" t="str">
        <f t="shared" si="0"/>
        <v/>
      </c>
      <c r="I5" t="str">
        <f t="shared" si="1"/>
        <v/>
      </c>
      <c r="J5" t="str">
        <f t="shared" si="2"/>
        <v/>
      </c>
      <c r="K5" t="str">
        <f t="shared" si="3"/>
        <v/>
      </c>
      <c r="M5">
        <f t="shared" si="4"/>
        <v>0.11687256176853056</v>
      </c>
      <c r="N5">
        <f t="shared" si="5"/>
        <v>0.5075004747135895</v>
      </c>
      <c r="O5">
        <f t="shared" si="6"/>
        <v>0.17201292115839686</v>
      </c>
      <c r="P5">
        <f t="shared" si="7"/>
        <v>0.75162035732401511</v>
      </c>
    </row>
    <row r="6" spans="1:22" x14ac:dyDescent="0.25">
      <c r="A6" s="61" t="s">
        <v>169</v>
      </c>
      <c r="B6">
        <v>0.31964053501764816</v>
      </c>
      <c r="C6">
        <v>0.32943888975103641</v>
      </c>
      <c r="D6">
        <v>0.26328738308980959</v>
      </c>
      <c r="E6" s="57">
        <v>0.46493019149053583</v>
      </c>
      <c r="H6">
        <f t="shared" si="0"/>
        <v>0.31964053501764816</v>
      </c>
      <c r="I6">
        <f t="shared" si="1"/>
        <v>0.32943888975103641</v>
      </c>
      <c r="J6">
        <f t="shared" si="2"/>
        <v>0.26328738308980959</v>
      </c>
      <c r="K6">
        <f t="shared" si="3"/>
        <v>0.46493019149053583</v>
      </c>
      <c r="M6" t="str">
        <f t="shared" si="4"/>
        <v/>
      </c>
      <c r="N6" t="str">
        <f t="shared" si="5"/>
        <v/>
      </c>
      <c r="O6" t="str">
        <f t="shared" si="6"/>
        <v/>
      </c>
      <c r="P6" t="str">
        <f t="shared" si="7"/>
        <v/>
      </c>
    </row>
    <row r="7" spans="1:22" x14ac:dyDescent="0.25">
      <c r="A7" t="s">
        <v>34</v>
      </c>
      <c r="B7">
        <v>0.44879713914174252</v>
      </c>
      <c r="C7">
        <v>0.27616556188618174</v>
      </c>
      <c r="D7">
        <v>3.1326296811028061E-2</v>
      </c>
      <c r="E7" s="57">
        <v>0.39749949817910707</v>
      </c>
      <c r="H7">
        <f t="shared" si="0"/>
        <v>0.44879713914174252</v>
      </c>
      <c r="I7">
        <f t="shared" si="1"/>
        <v>0.27616556188618174</v>
      </c>
      <c r="J7">
        <f t="shared" si="2"/>
        <v>3.1326296811028061E-2</v>
      </c>
      <c r="K7">
        <f t="shared" si="3"/>
        <v>0.39749949817910707</v>
      </c>
      <c r="M7" t="str">
        <f t="shared" si="4"/>
        <v/>
      </c>
      <c r="N7" t="str">
        <f t="shared" si="5"/>
        <v/>
      </c>
      <c r="O7" t="str">
        <f t="shared" si="6"/>
        <v/>
      </c>
      <c r="P7" t="str">
        <f t="shared" si="7"/>
        <v/>
      </c>
    </row>
    <row r="8" spans="1:22" x14ac:dyDescent="0.25">
      <c r="A8" t="s">
        <v>35</v>
      </c>
      <c r="B8">
        <v>0.14573657811629204</v>
      </c>
      <c r="C8">
        <v>0.65297381690824319</v>
      </c>
      <c r="D8">
        <v>3.5345378056567629E-2</v>
      </c>
      <c r="E8" s="57">
        <v>0.81996756643649304</v>
      </c>
      <c r="F8" t="s">
        <v>138</v>
      </c>
      <c r="H8" t="str">
        <f t="shared" si="0"/>
        <v/>
      </c>
      <c r="I8" t="str">
        <f t="shared" si="1"/>
        <v/>
      </c>
      <c r="J8" t="str">
        <f t="shared" si="2"/>
        <v/>
      </c>
      <c r="K8" t="str">
        <f t="shared" si="3"/>
        <v/>
      </c>
      <c r="M8">
        <f t="shared" si="4"/>
        <v>0.14573657811629204</v>
      </c>
      <c r="N8">
        <f t="shared" si="5"/>
        <v>0.65297381690824319</v>
      </c>
      <c r="O8">
        <f t="shared" si="6"/>
        <v>3.5345378056567629E-2</v>
      </c>
      <c r="P8">
        <f t="shared" si="7"/>
        <v>0.81996756643649304</v>
      </c>
    </row>
    <row r="9" spans="1:22" x14ac:dyDescent="0.25">
      <c r="A9" t="s">
        <v>36</v>
      </c>
      <c r="B9">
        <v>0.22308656882779118</v>
      </c>
      <c r="C9">
        <v>0.6493448952465346</v>
      </c>
      <c r="D9">
        <v>5.3393682154528041E-2</v>
      </c>
      <c r="E9" s="57">
        <v>0.73652169902688747</v>
      </c>
      <c r="F9" t="s">
        <v>138</v>
      </c>
      <c r="H9" t="str">
        <f t="shared" si="0"/>
        <v/>
      </c>
      <c r="I9" t="str">
        <f t="shared" si="1"/>
        <v/>
      </c>
      <c r="J9" t="str">
        <f t="shared" si="2"/>
        <v/>
      </c>
      <c r="K9" t="str">
        <f t="shared" si="3"/>
        <v/>
      </c>
      <c r="M9">
        <f t="shared" si="4"/>
        <v>0.22308656882779118</v>
      </c>
      <c r="N9">
        <f t="shared" si="5"/>
        <v>0.6493448952465346</v>
      </c>
      <c r="O9">
        <f t="shared" si="6"/>
        <v>5.3393682154528041E-2</v>
      </c>
      <c r="P9">
        <f t="shared" si="7"/>
        <v>0.73652169902688747</v>
      </c>
    </row>
    <row r="10" spans="1:22" x14ac:dyDescent="0.25">
      <c r="A10" t="s">
        <v>37</v>
      </c>
      <c r="B10">
        <v>0.19359557867360208</v>
      </c>
      <c r="C10">
        <v>0.68725474981710155</v>
      </c>
      <c r="D10">
        <v>0.10066483867332758</v>
      </c>
      <c r="E10" s="57">
        <v>0.76437714497727482</v>
      </c>
      <c r="H10">
        <f t="shared" si="0"/>
        <v>0.19359557867360208</v>
      </c>
      <c r="I10">
        <f t="shared" si="1"/>
        <v>0.68725474981710155</v>
      </c>
      <c r="J10">
        <f t="shared" si="2"/>
        <v>0.10066483867332758</v>
      </c>
      <c r="K10">
        <f t="shared" si="3"/>
        <v>0.76437714497727482</v>
      </c>
      <c r="M10" t="str">
        <f t="shared" si="4"/>
        <v/>
      </c>
      <c r="N10" t="str">
        <f t="shared" si="5"/>
        <v/>
      </c>
      <c r="O10" t="str">
        <f t="shared" si="6"/>
        <v/>
      </c>
      <c r="P10" t="str">
        <f t="shared" si="7"/>
        <v/>
      </c>
    </row>
    <row r="11" spans="1:22" x14ac:dyDescent="0.25">
      <c r="A11" t="s">
        <v>38</v>
      </c>
      <c r="B11">
        <v>0.2263839866245588</v>
      </c>
      <c r="C11">
        <v>0.57911188950717185</v>
      </c>
      <c r="D11">
        <v>0.10062727716635991</v>
      </c>
      <c r="E11" s="57">
        <v>0.68638711942619246</v>
      </c>
      <c r="F11" t="s">
        <v>138</v>
      </c>
      <c r="H11" t="str">
        <f t="shared" si="0"/>
        <v/>
      </c>
      <c r="I11" t="str">
        <f t="shared" si="1"/>
        <v/>
      </c>
      <c r="J11" t="str">
        <f t="shared" si="2"/>
        <v/>
      </c>
      <c r="K11" t="str">
        <f t="shared" si="3"/>
        <v/>
      </c>
      <c r="M11">
        <f t="shared" si="4"/>
        <v>0.2263839866245588</v>
      </c>
      <c r="N11">
        <f t="shared" si="5"/>
        <v>0.57911188950717185</v>
      </c>
      <c r="O11">
        <f t="shared" si="6"/>
        <v>0.10062727716635991</v>
      </c>
      <c r="P11">
        <f t="shared" si="7"/>
        <v>0.68638711942619246</v>
      </c>
    </row>
    <row r="12" spans="1:22" x14ac:dyDescent="0.25">
      <c r="A12" t="s">
        <v>39</v>
      </c>
      <c r="B12">
        <v>0.45093349433401447</v>
      </c>
      <c r="C12">
        <v>0.35575409581661382</v>
      </c>
      <c r="D12">
        <v>4.6444803365511024E-2</v>
      </c>
      <c r="E12" s="57">
        <v>0.4627189583010386</v>
      </c>
      <c r="H12">
        <f t="shared" si="0"/>
        <v>0.45093349433401447</v>
      </c>
      <c r="I12">
        <f t="shared" si="1"/>
        <v>0.35575409581661382</v>
      </c>
      <c r="J12">
        <f t="shared" si="2"/>
        <v>4.6444803365511024E-2</v>
      </c>
      <c r="K12">
        <f t="shared" si="3"/>
        <v>0.4627189583010386</v>
      </c>
      <c r="M12" t="str">
        <f t="shared" si="4"/>
        <v/>
      </c>
      <c r="N12" t="str">
        <f t="shared" si="5"/>
        <v/>
      </c>
      <c r="O12" t="str">
        <f t="shared" si="6"/>
        <v/>
      </c>
      <c r="P12" t="str">
        <f t="shared" si="7"/>
        <v/>
      </c>
    </row>
    <row r="13" spans="1:22" x14ac:dyDescent="0.25">
      <c r="A13" t="s">
        <v>40</v>
      </c>
      <c r="B13">
        <v>0.23808749767787479</v>
      </c>
      <c r="C13">
        <v>0.39197907198439269</v>
      </c>
      <c r="D13">
        <v>0.14361642189084625</v>
      </c>
      <c r="E13" s="57">
        <v>0.5474128827877508</v>
      </c>
      <c r="H13">
        <f t="shared" si="0"/>
        <v>0.23808749767787479</v>
      </c>
      <c r="I13">
        <f t="shared" si="1"/>
        <v>0.39197907198439269</v>
      </c>
      <c r="J13">
        <f t="shared" si="2"/>
        <v>0.14361642189084625</v>
      </c>
      <c r="K13">
        <f t="shared" si="3"/>
        <v>0.5474128827877508</v>
      </c>
      <c r="M13" t="str">
        <f t="shared" si="4"/>
        <v/>
      </c>
      <c r="N13" t="str">
        <f t="shared" si="5"/>
        <v/>
      </c>
      <c r="O13" t="str">
        <f t="shared" si="6"/>
        <v/>
      </c>
      <c r="P13" t="str">
        <f t="shared" si="7"/>
        <v/>
      </c>
    </row>
    <row r="14" spans="1:22" x14ac:dyDescent="0.25">
      <c r="A14" t="s">
        <v>168</v>
      </c>
      <c r="B14">
        <v>0.1544909901541891</v>
      </c>
      <c r="C14">
        <v>0.70339894930058866</v>
      </c>
      <c r="D14">
        <v>6.7122412951207605E-2</v>
      </c>
      <c r="E14" s="57">
        <v>0.81051719697501812</v>
      </c>
      <c r="H14">
        <f t="shared" si="0"/>
        <v>0.1544909901541891</v>
      </c>
      <c r="I14">
        <f t="shared" si="1"/>
        <v>0.70339894930058866</v>
      </c>
      <c r="J14">
        <f t="shared" si="2"/>
        <v>6.7122412951207605E-2</v>
      </c>
      <c r="K14">
        <f t="shared" si="3"/>
        <v>0.81051719697501812</v>
      </c>
      <c r="M14" t="str">
        <f t="shared" si="4"/>
        <v/>
      </c>
      <c r="N14" t="str">
        <f t="shared" si="5"/>
        <v/>
      </c>
      <c r="O14" t="str">
        <f t="shared" si="6"/>
        <v/>
      </c>
      <c r="P14" t="str">
        <f t="shared" si="7"/>
        <v/>
      </c>
    </row>
    <row r="15" spans="1:22" x14ac:dyDescent="0.25">
      <c r="A15" t="s">
        <v>41</v>
      </c>
      <c r="B15">
        <v>0.48588147872933307</v>
      </c>
      <c r="C15">
        <v>0.42099895803312126</v>
      </c>
      <c r="D15">
        <v>6.3572850542763779E-2</v>
      </c>
      <c r="E15" s="57">
        <v>0.47876837352291285</v>
      </c>
      <c r="H15">
        <f t="shared" si="0"/>
        <v>0.48588147872933307</v>
      </c>
      <c r="I15">
        <f t="shared" si="1"/>
        <v>0.42099895803312126</v>
      </c>
      <c r="J15">
        <f t="shared" si="2"/>
        <v>6.3572850542763779E-2</v>
      </c>
      <c r="K15">
        <f t="shared" si="3"/>
        <v>0.47876837352291285</v>
      </c>
      <c r="M15" t="str">
        <f t="shared" si="4"/>
        <v/>
      </c>
      <c r="N15" t="str">
        <f t="shared" si="5"/>
        <v/>
      </c>
      <c r="O15" t="str">
        <f t="shared" si="6"/>
        <v/>
      </c>
      <c r="P15" t="str">
        <f t="shared" si="7"/>
        <v/>
      </c>
    </row>
    <row r="16" spans="1:22" x14ac:dyDescent="0.25">
      <c r="A16" t="s">
        <v>42</v>
      </c>
      <c r="B16">
        <v>0.28132546906929223</v>
      </c>
      <c r="C16">
        <v>0.61735429090828475</v>
      </c>
      <c r="D16">
        <v>5.1609510573564214E-2</v>
      </c>
      <c r="E16" s="57">
        <v>0.68859340556259085</v>
      </c>
      <c r="H16">
        <f t="shared" si="0"/>
        <v>0.28132546906929223</v>
      </c>
      <c r="I16">
        <f t="shared" si="1"/>
        <v>0.61735429090828475</v>
      </c>
      <c r="J16">
        <f t="shared" si="2"/>
        <v>5.1609510573564214E-2</v>
      </c>
      <c r="K16">
        <f t="shared" si="3"/>
        <v>0.68859340556259085</v>
      </c>
      <c r="M16" t="str">
        <f t="shared" si="4"/>
        <v/>
      </c>
      <c r="N16" t="str">
        <f t="shared" si="5"/>
        <v/>
      </c>
      <c r="O16" t="str">
        <f t="shared" si="6"/>
        <v/>
      </c>
      <c r="P16" t="str">
        <f t="shared" si="7"/>
        <v/>
      </c>
    </row>
    <row r="17" spans="1:16" x14ac:dyDescent="0.25">
      <c r="A17" t="s">
        <v>43</v>
      </c>
      <c r="B17">
        <v>0.36266951514025636</v>
      </c>
      <c r="C17">
        <v>0.40242091028000088</v>
      </c>
      <c r="D17">
        <v>5.0276077076212296E-2</v>
      </c>
      <c r="E17" s="57">
        <v>0.53367252037857649</v>
      </c>
      <c r="H17">
        <f t="shared" si="0"/>
        <v>0.36266951514025636</v>
      </c>
      <c r="I17">
        <f t="shared" si="1"/>
        <v>0.40242091028000088</v>
      </c>
      <c r="J17">
        <f t="shared" si="2"/>
        <v>5.0276077076212296E-2</v>
      </c>
      <c r="K17">
        <f t="shared" si="3"/>
        <v>0.53367252037857649</v>
      </c>
      <c r="M17" t="str">
        <f t="shared" si="4"/>
        <v/>
      </c>
      <c r="N17" t="str">
        <f t="shared" si="5"/>
        <v/>
      </c>
      <c r="O17" t="str">
        <f t="shared" si="6"/>
        <v/>
      </c>
      <c r="P17" t="str">
        <f t="shared" si="7"/>
        <v/>
      </c>
    </row>
    <row r="18" spans="1:16" x14ac:dyDescent="0.25">
      <c r="A18" t="s">
        <v>44</v>
      </c>
      <c r="B18">
        <v>0.49732955600966006</v>
      </c>
      <c r="C18">
        <v>0.35726162236459974</v>
      </c>
      <c r="D18">
        <v>0.11617774105097096</v>
      </c>
      <c r="E18" s="57">
        <v>0.41660878104864785</v>
      </c>
      <c r="H18">
        <f t="shared" si="0"/>
        <v>0.49732955600966006</v>
      </c>
      <c r="I18">
        <f t="shared" si="1"/>
        <v>0.35726162236459974</v>
      </c>
      <c r="J18">
        <f t="shared" si="2"/>
        <v>0.11617774105097096</v>
      </c>
      <c r="K18">
        <f t="shared" si="3"/>
        <v>0.41660878104864785</v>
      </c>
      <c r="M18" t="str">
        <f t="shared" si="4"/>
        <v/>
      </c>
      <c r="N18" t="str">
        <f t="shared" si="5"/>
        <v/>
      </c>
      <c r="O18" t="str">
        <f t="shared" si="6"/>
        <v/>
      </c>
      <c r="P18" t="str">
        <f t="shared" si="7"/>
        <v/>
      </c>
    </row>
    <row r="19" spans="1:16" x14ac:dyDescent="0.25">
      <c r="A19" s="61" t="s">
        <v>167</v>
      </c>
      <c r="B19">
        <v>0.15535017648151589</v>
      </c>
      <c r="C19">
        <v>0.71975524863103291</v>
      </c>
      <c r="D19">
        <v>6.9808060699395255E-2</v>
      </c>
      <c r="E19" s="57">
        <v>0.8083082848018035</v>
      </c>
      <c r="F19" t="s">
        <v>138</v>
      </c>
      <c r="H19" t="str">
        <f t="shared" si="0"/>
        <v/>
      </c>
      <c r="I19" t="str">
        <f t="shared" si="1"/>
        <v/>
      </c>
      <c r="J19" t="str">
        <f t="shared" si="2"/>
        <v/>
      </c>
      <c r="K19" t="str">
        <f t="shared" si="3"/>
        <v/>
      </c>
      <c r="M19">
        <f t="shared" si="4"/>
        <v>0.15535017648151589</v>
      </c>
      <c r="N19">
        <f t="shared" si="5"/>
        <v>0.71975524863103291</v>
      </c>
      <c r="O19">
        <f t="shared" si="6"/>
        <v>6.9808060699395255E-2</v>
      </c>
      <c r="P19">
        <f t="shared" si="7"/>
        <v>0.8083082848018035</v>
      </c>
    </row>
    <row r="20" spans="1:16" x14ac:dyDescent="0.25">
      <c r="A20" t="s">
        <v>46</v>
      </c>
      <c r="B20">
        <v>0.36717443804569944</v>
      </c>
      <c r="C20">
        <v>0.23860159925733695</v>
      </c>
      <c r="D20">
        <v>7.3489088382225898E-2</v>
      </c>
      <c r="E20" s="57">
        <v>0.45646860268870393</v>
      </c>
      <c r="F20" t="s">
        <v>138</v>
      </c>
      <c r="H20" t="str">
        <f t="shared" si="0"/>
        <v/>
      </c>
      <c r="I20" t="str">
        <f t="shared" si="1"/>
        <v/>
      </c>
      <c r="J20" t="str">
        <f t="shared" si="2"/>
        <v/>
      </c>
      <c r="K20" t="str">
        <f t="shared" si="3"/>
        <v/>
      </c>
      <c r="M20">
        <f t="shared" si="4"/>
        <v>0.36717443804569944</v>
      </c>
      <c r="N20">
        <f t="shared" si="5"/>
        <v>0.23860159925733695</v>
      </c>
      <c r="O20">
        <f t="shared" si="6"/>
        <v>7.3489088382225898E-2</v>
      </c>
      <c r="P20">
        <f t="shared" si="7"/>
        <v>0.45646860268870393</v>
      </c>
    </row>
    <row r="21" spans="1:16" x14ac:dyDescent="0.25">
      <c r="A21" t="s">
        <v>47</v>
      </c>
      <c r="B21">
        <v>0.29235556381200073</v>
      </c>
      <c r="C21">
        <v>0.4231050612986898</v>
      </c>
      <c r="D21">
        <v>6.8962926792622919E-2</v>
      </c>
      <c r="E21" s="57">
        <v>0.59851575978311466</v>
      </c>
      <c r="F21" t="s">
        <v>138</v>
      </c>
      <c r="H21" t="str">
        <f t="shared" si="0"/>
        <v/>
      </c>
      <c r="I21" t="str">
        <f t="shared" si="1"/>
        <v/>
      </c>
      <c r="J21" t="str">
        <f t="shared" si="2"/>
        <v/>
      </c>
      <c r="K21" t="str">
        <f t="shared" si="3"/>
        <v/>
      </c>
      <c r="M21">
        <f t="shared" si="4"/>
        <v>0.29235556381200073</v>
      </c>
      <c r="N21">
        <f t="shared" si="5"/>
        <v>0.4231050612986898</v>
      </c>
      <c r="O21">
        <f t="shared" si="6"/>
        <v>6.8962926792622919E-2</v>
      </c>
      <c r="P21">
        <f t="shared" si="7"/>
        <v>0.59851575978311466</v>
      </c>
    </row>
    <row r="22" spans="1:16" x14ac:dyDescent="0.25">
      <c r="A22" t="s">
        <v>48</v>
      </c>
      <c r="B22">
        <v>0.10874512353706112</v>
      </c>
      <c r="C22">
        <v>0.60588222883304854</v>
      </c>
      <c r="D22">
        <v>5.9103031213612288E-2</v>
      </c>
      <c r="E22" s="57">
        <v>0.81377695435129427</v>
      </c>
      <c r="F22" t="s">
        <v>138</v>
      </c>
      <c r="H22" t="str">
        <f t="shared" si="0"/>
        <v/>
      </c>
      <c r="I22" t="str">
        <f t="shared" si="1"/>
        <v/>
      </c>
      <c r="J22" t="str">
        <f t="shared" si="2"/>
        <v/>
      </c>
      <c r="K22" t="str">
        <f t="shared" si="3"/>
        <v/>
      </c>
      <c r="M22">
        <f t="shared" si="4"/>
        <v>0.10874512353706112</v>
      </c>
      <c r="N22">
        <f t="shared" si="5"/>
        <v>0.60588222883304854</v>
      </c>
      <c r="O22">
        <f t="shared" si="6"/>
        <v>5.9103031213612288E-2</v>
      </c>
      <c r="P22">
        <f t="shared" si="7"/>
        <v>0.81377695435129427</v>
      </c>
    </row>
    <row r="23" spans="1:16" x14ac:dyDescent="0.25">
      <c r="A23" t="s">
        <v>49</v>
      </c>
      <c r="B23">
        <v>0.1484302433587219</v>
      </c>
      <c r="C23">
        <v>0.62868957950925164</v>
      </c>
      <c r="D23">
        <v>8.9189798294707578E-2</v>
      </c>
      <c r="E23" s="57">
        <v>0.77231312081591219</v>
      </c>
      <c r="H23">
        <f t="shared" si="0"/>
        <v>0.1484302433587219</v>
      </c>
      <c r="I23">
        <f t="shared" si="1"/>
        <v>0.62868957950925164</v>
      </c>
      <c r="J23">
        <f t="shared" si="2"/>
        <v>8.9189798294707578E-2</v>
      </c>
      <c r="K23">
        <f t="shared" si="3"/>
        <v>0.77231312081591219</v>
      </c>
      <c r="M23" t="str">
        <f t="shared" si="4"/>
        <v/>
      </c>
      <c r="N23" t="str">
        <f t="shared" si="5"/>
        <v/>
      </c>
      <c r="O23" t="str">
        <f t="shared" si="6"/>
        <v/>
      </c>
      <c r="P23" t="str">
        <f t="shared" si="7"/>
        <v/>
      </c>
    </row>
    <row r="24" spans="1:16" x14ac:dyDescent="0.25">
      <c r="A24" t="s">
        <v>50</v>
      </c>
      <c r="B24">
        <v>0.25143971762957457</v>
      </c>
      <c r="C24">
        <v>0.44835613097745364</v>
      </c>
      <c r="D24">
        <v>0.1774593396687075</v>
      </c>
      <c r="E24" s="57">
        <v>0.58245251529841846</v>
      </c>
      <c r="F24" t="s">
        <v>138</v>
      </c>
      <c r="H24" t="str">
        <f t="shared" si="0"/>
        <v/>
      </c>
      <c r="I24" t="str">
        <f t="shared" si="1"/>
        <v/>
      </c>
      <c r="J24" t="str">
        <f t="shared" si="2"/>
        <v/>
      </c>
      <c r="K24" t="str">
        <f t="shared" si="3"/>
        <v/>
      </c>
      <c r="M24">
        <f t="shared" si="4"/>
        <v>0.25143971762957457</v>
      </c>
      <c r="N24">
        <f t="shared" si="5"/>
        <v>0.44835613097745364</v>
      </c>
      <c r="O24">
        <f t="shared" si="6"/>
        <v>0.1774593396687075</v>
      </c>
      <c r="P24">
        <f t="shared" si="7"/>
        <v>0.58245251529841846</v>
      </c>
    </row>
    <row r="25" spans="1:16" x14ac:dyDescent="0.25">
      <c r="A25" t="s">
        <v>52</v>
      </c>
      <c r="B25">
        <v>0.2009334943340145</v>
      </c>
      <c r="C25">
        <v>0.66164896800939987</v>
      </c>
      <c r="D25">
        <v>6.9131953573977389E-2</v>
      </c>
      <c r="E25" s="57">
        <v>0.7554827992970462</v>
      </c>
      <c r="H25">
        <f t="shared" si="0"/>
        <v>0.2009334943340145</v>
      </c>
      <c r="I25">
        <f t="shared" si="1"/>
        <v>0.66164896800939987</v>
      </c>
      <c r="J25">
        <f t="shared" si="2"/>
        <v>6.9131953573977389E-2</v>
      </c>
      <c r="K25">
        <f t="shared" si="3"/>
        <v>0.7554827992970462</v>
      </c>
      <c r="M25" t="str">
        <f t="shared" si="4"/>
        <v/>
      </c>
      <c r="N25" t="str">
        <f t="shared" si="5"/>
        <v/>
      </c>
      <c r="O25" t="str">
        <f t="shared" si="6"/>
        <v/>
      </c>
      <c r="P25" t="str">
        <f t="shared" si="7"/>
        <v/>
      </c>
    </row>
    <row r="26" spans="1:16" x14ac:dyDescent="0.25">
      <c r="A26" t="s">
        <v>53</v>
      </c>
      <c r="B26">
        <v>8.4200260078023406E-2</v>
      </c>
      <c r="C26">
        <v>0.73407675083689894</v>
      </c>
      <c r="D26">
        <v>0.10464635841189948</v>
      </c>
      <c r="E26" s="57">
        <v>0.86459858543243584</v>
      </c>
      <c r="H26">
        <f t="shared" si="0"/>
        <v>8.4200260078023406E-2</v>
      </c>
      <c r="I26">
        <f t="shared" si="1"/>
        <v>0.73407675083689894</v>
      </c>
      <c r="J26">
        <f t="shared" si="2"/>
        <v>0.10464635841189948</v>
      </c>
      <c r="K26">
        <f t="shared" si="3"/>
        <v>0.86459858543243584</v>
      </c>
      <c r="M26" t="str">
        <f t="shared" si="4"/>
        <v/>
      </c>
      <c r="N26" t="str">
        <f t="shared" si="5"/>
        <v/>
      </c>
      <c r="O26" t="str">
        <f t="shared" si="6"/>
        <v/>
      </c>
      <c r="P26" t="str">
        <f t="shared" si="7"/>
        <v/>
      </c>
    </row>
    <row r="27" spans="1:16" x14ac:dyDescent="0.25">
      <c r="A27" t="s">
        <v>54</v>
      </c>
      <c r="B27">
        <v>0.27568270481144341</v>
      </c>
      <c r="C27">
        <v>0.58520850422329129</v>
      </c>
      <c r="D27">
        <v>8.6842204109228868E-2</v>
      </c>
      <c r="E27" s="57">
        <v>0.66653343364995765</v>
      </c>
      <c r="H27">
        <f t="shared" si="0"/>
        <v>0.27568270481144341</v>
      </c>
      <c r="I27">
        <f t="shared" si="1"/>
        <v>0.58520850422329129</v>
      </c>
      <c r="J27">
        <f t="shared" si="2"/>
        <v>8.6842204109228868E-2</v>
      </c>
      <c r="K27">
        <f t="shared" si="3"/>
        <v>0.66653343364995765</v>
      </c>
      <c r="M27" t="str">
        <f t="shared" si="4"/>
        <v/>
      </c>
      <c r="N27" t="str">
        <f t="shared" si="5"/>
        <v/>
      </c>
      <c r="O27" t="str">
        <f t="shared" si="6"/>
        <v/>
      </c>
      <c r="P27" t="str">
        <f t="shared" si="7"/>
        <v/>
      </c>
    </row>
    <row r="28" spans="1:16" x14ac:dyDescent="0.25">
      <c r="A28" t="s">
        <v>55</v>
      </c>
      <c r="B28">
        <v>6.7179082296117409E-2</v>
      </c>
      <c r="C28">
        <v>0.57368609827626216</v>
      </c>
      <c r="D28">
        <v>2.1015663148405514E-2</v>
      </c>
      <c r="E28" s="57">
        <v>0.83939979599506098</v>
      </c>
      <c r="F28" t="s">
        <v>138</v>
      </c>
      <c r="H28" t="str">
        <f t="shared" si="0"/>
        <v/>
      </c>
      <c r="I28" t="str">
        <f t="shared" si="1"/>
        <v/>
      </c>
      <c r="J28" t="str">
        <f t="shared" si="2"/>
        <v/>
      </c>
      <c r="K28" t="str">
        <f t="shared" si="3"/>
        <v/>
      </c>
      <c r="M28">
        <f t="shared" si="4"/>
        <v>6.7179082296117409E-2</v>
      </c>
      <c r="N28">
        <f t="shared" si="5"/>
        <v>0.57368609827626216</v>
      </c>
      <c r="O28">
        <f t="shared" si="6"/>
        <v>2.1015663148405514E-2</v>
      </c>
      <c r="P28">
        <f t="shared" si="7"/>
        <v>0.83939979599506098</v>
      </c>
    </row>
    <row r="29" spans="1:16" x14ac:dyDescent="0.25">
      <c r="A29" t="s">
        <v>56</v>
      </c>
      <c r="B29">
        <v>0.40702210663198962</v>
      </c>
      <c r="C29">
        <v>0.39747710998292946</v>
      </c>
      <c r="D29">
        <v>3.9533486083461668E-2</v>
      </c>
      <c r="E29" s="57">
        <v>0.50634733000976517</v>
      </c>
      <c r="H29">
        <f t="shared" si="0"/>
        <v>0.40702210663198962</v>
      </c>
      <c r="I29">
        <f t="shared" si="1"/>
        <v>0.39747710998292946</v>
      </c>
      <c r="J29">
        <f t="shared" si="2"/>
        <v>3.9533486083461668E-2</v>
      </c>
      <c r="K29">
        <f t="shared" si="3"/>
        <v>0.50634733000976517</v>
      </c>
      <c r="M29" t="str">
        <f t="shared" si="4"/>
        <v/>
      </c>
      <c r="N29" t="str">
        <f t="shared" si="5"/>
        <v/>
      </c>
      <c r="O29" t="str">
        <f t="shared" si="6"/>
        <v/>
      </c>
      <c r="P29" t="str">
        <f t="shared" si="7"/>
        <v/>
      </c>
    </row>
    <row r="30" spans="1:16" x14ac:dyDescent="0.25">
      <c r="A30" s="61" t="s">
        <v>166</v>
      </c>
      <c r="B30">
        <v>0.16584618242615642</v>
      </c>
      <c r="C30">
        <v>0.61061476045846541</v>
      </c>
      <c r="D30">
        <v>0.12566202156030501</v>
      </c>
      <c r="E30" s="57">
        <v>0.75174218219326272</v>
      </c>
      <c r="H30">
        <f t="shared" si="0"/>
        <v>0.16584618242615642</v>
      </c>
      <c r="I30">
        <f t="shared" si="1"/>
        <v>0.61061476045846541</v>
      </c>
      <c r="J30">
        <f t="shared" si="2"/>
        <v>0.12566202156030501</v>
      </c>
      <c r="K30">
        <f t="shared" si="3"/>
        <v>0.75174218219326272</v>
      </c>
      <c r="M30" t="str">
        <f t="shared" si="4"/>
        <v/>
      </c>
      <c r="N30" t="str">
        <f t="shared" si="5"/>
        <v/>
      </c>
      <c r="O30" t="str">
        <f t="shared" si="6"/>
        <v/>
      </c>
      <c r="P30" t="str">
        <f t="shared" si="7"/>
        <v/>
      </c>
    </row>
    <row r="31" spans="1:16" x14ac:dyDescent="0.25">
      <c r="A31" t="s">
        <v>58</v>
      </c>
      <c r="B31">
        <v>0.41468511982166079</v>
      </c>
      <c r="C31">
        <v>0.36927749573236968</v>
      </c>
      <c r="D31">
        <v>5.4276377568268037E-2</v>
      </c>
      <c r="E31" s="57">
        <v>0.48304103020016703</v>
      </c>
      <c r="H31">
        <f t="shared" si="0"/>
        <v>0.41468511982166079</v>
      </c>
      <c r="I31">
        <f t="shared" si="1"/>
        <v>0.36927749573236968</v>
      </c>
      <c r="J31">
        <f t="shared" si="2"/>
        <v>5.4276377568268037E-2</v>
      </c>
      <c r="K31">
        <f t="shared" si="3"/>
        <v>0.48304103020016703</v>
      </c>
      <c r="M31" t="str">
        <f t="shared" si="4"/>
        <v/>
      </c>
      <c r="N31" t="str">
        <f t="shared" si="5"/>
        <v/>
      </c>
      <c r="O31" t="str">
        <f t="shared" si="6"/>
        <v/>
      </c>
      <c r="P31" t="str">
        <f t="shared" si="7"/>
        <v/>
      </c>
    </row>
    <row r="32" spans="1:16" x14ac:dyDescent="0.25">
      <c r="A32" s="61" t="s">
        <v>165</v>
      </c>
      <c r="B32">
        <v>0.28961545606539102</v>
      </c>
      <c r="C32">
        <v>0.50262708670494605</v>
      </c>
      <c r="D32">
        <v>0.1012470420313263</v>
      </c>
      <c r="E32" s="57">
        <v>0.61871469463231754</v>
      </c>
      <c r="F32" t="s">
        <v>138</v>
      </c>
      <c r="H32" t="str">
        <f t="shared" si="0"/>
        <v/>
      </c>
      <c r="I32" t="str">
        <f t="shared" si="1"/>
        <v/>
      </c>
      <c r="J32" t="str">
        <f t="shared" si="2"/>
        <v/>
      </c>
      <c r="K32" t="str">
        <f t="shared" si="3"/>
        <v/>
      </c>
      <c r="M32">
        <f t="shared" si="4"/>
        <v>0.28961545606539102</v>
      </c>
      <c r="N32">
        <f t="shared" si="5"/>
        <v>0.50262708670494605</v>
      </c>
      <c r="O32">
        <f t="shared" si="6"/>
        <v>0.1012470420313263</v>
      </c>
      <c r="P32">
        <f t="shared" si="7"/>
        <v>0.61871469463231754</v>
      </c>
    </row>
    <row r="33" spans="1:16" x14ac:dyDescent="0.25">
      <c r="A33" s="61" t="s">
        <v>164</v>
      </c>
      <c r="B33">
        <v>0.15535017648151589</v>
      </c>
      <c r="C33">
        <v>0.61693307025517108</v>
      </c>
      <c r="D33">
        <v>8.1527250873305035E-2</v>
      </c>
      <c r="E33" s="57">
        <v>0.7663354411321891</v>
      </c>
      <c r="F33" t="s">
        <v>138</v>
      </c>
      <c r="H33" t="str">
        <f t="shared" si="0"/>
        <v/>
      </c>
      <c r="I33" t="str">
        <f t="shared" si="1"/>
        <v/>
      </c>
      <c r="J33" t="str">
        <f t="shared" si="2"/>
        <v/>
      </c>
      <c r="K33" t="str">
        <f t="shared" si="3"/>
        <v/>
      </c>
      <c r="M33">
        <f t="shared" si="4"/>
        <v>0.15535017648151589</v>
      </c>
      <c r="N33">
        <f t="shared" si="5"/>
        <v>0.61693307025517108</v>
      </c>
      <c r="O33">
        <f t="shared" si="6"/>
        <v>8.1527250873305035E-2</v>
      </c>
      <c r="P33">
        <f t="shared" si="7"/>
        <v>0.7663354411321891</v>
      </c>
    </row>
    <row r="34" spans="1:16" x14ac:dyDescent="0.25">
      <c r="A34" t="s">
        <v>61</v>
      </c>
      <c r="B34">
        <v>0.39476128552851569</v>
      </c>
      <c r="C34">
        <v>0.41035759416498546</v>
      </c>
      <c r="D34">
        <v>4.3665251849904219E-2</v>
      </c>
      <c r="E34" s="57">
        <v>0.52703807376947653</v>
      </c>
      <c r="H34">
        <f t="shared" si="0"/>
        <v>0.39476128552851569</v>
      </c>
      <c r="I34">
        <f t="shared" si="1"/>
        <v>0.41035759416498546</v>
      </c>
      <c r="J34">
        <f t="shared" si="2"/>
        <v>4.3665251849904219E-2</v>
      </c>
      <c r="K34">
        <f t="shared" si="3"/>
        <v>0.52703807376947653</v>
      </c>
      <c r="M34" t="str">
        <f t="shared" si="4"/>
        <v/>
      </c>
      <c r="N34" t="str">
        <f t="shared" si="5"/>
        <v/>
      </c>
      <c r="O34" t="str">
        <f t="shared" si="6"/>
        <v/>
      </c>
      <c r="P34" t="str">
        <f t="shared" si="7"/>
        <v/>
      </c>
    </row>
    <row r="35" spans="1:16" x14ac:dyDescent="0.25">
      <c r="A35" t="s">
        <v>62</v>
      </c>
      <c r="B35">
        <v>0.12251532602637934</v>
      </c>
      <c r="C35">
        <v>0.79351320194204888</v>
      </c>
      <c r="D35">
        <v>8.836344514141907E-2</v>
      </c>
      <c r="E35" s="57">
        <v>0.84701965757767916</v>
      </c>
      <c r="H35">
        <f t="shared" ref="H35:H66" si="8">IF($F35&lt;&gt;"NOTSYD",B35,"")</f>
        <v>0.12251532602637934</v>
      </c>
      <c r="I35">
        <f t="shared" ref="I35:I66" si="9">IF($F35&lt;&gt;"NOTSYD",C35,"")</f>
        <v>0.79351320194204888</v>
      </c>
      <c r="J35">
        <f t="shared" ref="J35:J66" si="10">IF($F35&lt;&gt;"NOTSYD",D35,"")</f>
        <v>8.836344514141907E-2</v>
      </c>
      <c r="K35">
        <f t="shared" ref="K35:K66" si="11">IF($F35&lt;&gt;"NOTSYD",E35,"")</f>
        <v>0.84701965757767916</v>
      </c>
      <c r="M35" t="str">
        <f t="shared" ref="M35:M66" si="12">IF($F35="NOTSYD",B35,"")</f>
        <v/>
      </c>
      <c r="N35" t="str">
        <f t="shared" ref="N35:N66" si="13">IF($F35="NOTSYD",C35,"")</f>
        <v/>
      </c>
      <c r="O35" t="str">
        <f t="shared" ref="O35:O66" si="14">IF($F35="NOTSYD",D35,"")</f>
        <v/>
      </c>
      <c r="P35" t="str">
        <f t="shared" ref="P35:P66" si="15">IF($F35="NOTSYD",E35,"")</f>
        <v/>
      </c>
    </row>
    <row r="36" spans="1:16" x14ac:dyDescent="0.25">
      <c r="A36" s="61" t="s">
        <v>163</v>
      </c>
      <c r="B36">
        <v>0.23393089355378041</v>
      </c>
      <c r="C36">
        <v>0.45890881681335494</v>
      </c>
      <c r="D36">
        <v>0.13093941328926118</v>
      </c>
      <c r="E36" s="57">
        <v>0.6293105813283586</v>
      </c>
      <c r="H36">
        <f t="shared" si="8"/>
        <v>0.23393089355378041</v>
      </c>
      <c r="I36">
        <f t="shared" si="9"/>
        <v>0.45890881681335494</v>
      </c>
      <c r="J36">
        <f t="shared" si="10"/>
        <v>0.13093941328926118</v>
      </c>
      <c r="K36">
        <f t="shared" si="11"/>
        <v>0.6293105813283586</v>
      </c>
      <c r="M36" t="str">
        <f t="shared" si="12"/>
        <v/>
      </c>
      <c r="N36" t="str">
        <f t="shared" si="13"/>
        <v/>
      </c>
      <c r="O36" t="str">
        <f t="shared" si="14"/>
        <v/>
      </c>
      <c r="P36" t="str">
        <f t="shared" si="15"/>
        <v/>
      </c>
    </row>
    <row r="37" spans="1:16" x14ac:dyDescent="0.25">
      <c r="A37" t="s">
        <v>64</v>
      </c>
      <c r="B37">
        <v>0.4381850269366524</v>
      </c>
      <c r="C37">
        <v>0.33755292970048995</v>
      </c>
      <c r="D37">
        <v>0.16303572099312624</v>
      </c>
      <c r="E37" s="57">
        <v>0.42938662708871772</v>
      </c>
      <c r="H37">
        <f t="shared" si="8"/>
        <v>0.4381850269366524</v>
      </c>
      <c r="I37">
        <f t="shared" si="9"/>
        <v>0.33755292970048995</v>
      </c>
      <c r="J37">
        <f t="shared" si="10"/>
        <v>0.16303572099312624</v>
      </c>
      <c r="K37">
        <f t="shared" si="11"/>
        <v>0.42938662708871772</v>
      </c>
      <c r="M37" t="str">
        <f t="shared" si="12"/>
        <v/>
      </c>
      <c r="N37" t="str">
        <f t="shared" si="13"/>
        <v/>
      </c>
      <c r="O37" t="str">
        <f t="shared" si="14"/>
        <v/>
      </c>
      <c r="P37" t="str">
        <f t="shared" si="15"/>
        <v/>
      </c>
    </row>
    <row r="38" spans="1:16" x14ac:dyDescent="0.25">
      <c r="A38" s="61" t="s">
        <v>162</v>
      </c>
      <c r="B38">
        <v>0.11253018762771688</v>
      </c>
      <c r="C38">
        <v>0.51692641940275341</v>
      </c>
      <c r="D38">
        <v>9.8448709762235659E-2</v>
      </c>
      <c r="E38" s="57">
        <v>0.77100091110243396</v>
      </c>
      <c r="H38">
        <f t="shared" si="8"/>
        <v>0.11253018762771688</v>
      </c>
      <c r="I38">
        <f t="shared" si="9"/>
        <v>0.51692641940275341</v>
      </c>
      <c r="J38">
        <f t="shared" si="10"/>
        <v>9.8448709762235659E-2</v>
      </c>
      <c r="K38">
        <f t="shared" si="11"/>
        <v>0.77100091110243396</v>
      </c>
      <c r="M38" t="str">
        <f t="shared" si="12"/>
        <v/>
      </c>
      <c r="N38" t="str">
        <f t="shared" si="13"/>
        <v/>
      </c>
      <c r="O38" t="str">
        <f t="shared" si="14"/>
        <v/>
      </c>
      <c r="P38" t="str">
        <f t="shared" si="15"/>
        <v/>
      </c>
    </row>
    <row r="39" spans="1:16" x14ac:dyDescent="0.25">
      <c r="A39" t="s">
        <v>67</v>
      </c>
      <c r="B39">
        <v>0.39908043841723945</v>
      </c>
      <c r="C39">
        <v>0.3471079876737535</v>
      </c>
      <c r="D39">
        <v>0.1011906997708748</v>
      </c>
      <c r="E39" s="57">
        <v>0.46163528609639692</v>
      </c>
      <c r="H39">
        <f t="shared" si="8"/>
        <v>0.39908043841723945</v>
      </c>
      <c r="I39">
        <f t="shared" si="9"/>
        <v>0.3471079876737535</v>
      </c>
      <c r="J39">
        <f t="shared" si="10"/>
        <v>0.1011906997708748</v>
      </c>
      <c r="K39">
        <f t="shared" si="11"/>
        <v>0.46163528609639692</v>
      </c>
      <c r="M39" t="str">
        <f t="shared" si="12"/>
        <v/>
      </c>
      <c r="N39" t="str">
        <f t="shared" si="13"/>
        <v/>
      </c>
      <c r="O39" t="str">
        <f t="shared" si="14"/>
        <v/>
      </c>
      <c r="P39" t="str">
        <f t="shared" si="15"/>
        <v/>
      </c>
    </row>
    <row r="40" spans="1:16" x14ac:dyDescent="0.25">
      <c r="A40" t="s">
        <v>68</v>
      </c>
      <c r="B40">
        <v>0.31037525543377298</v>
      </c>
      <c r="C40">
        <v>0.44112887135034473</v>
      </c>
      <c r="D40">
        <v>7.7489388874281639E-2</v>
      </c>
      <c r="E40" s="57">
        <v>0.57457212713936434</v>
      </c>
      <c r="F40" t="s">
        <v>138</v>
      </c>
      <c r="H40" t="str">
        <f t="shared" si="8"/>
        <v/>
      </c>
      <c r="I40" t="str">
        <f t="shared" si="9"/>
        <v/>
      </c>
      <c r="J40" t="str">
        <f t="shared" si="10"/>
        <v/>
      </c>
      <c r="K40" t="str">
        <f t="shared" si="11"/>
        <v/>
      </c>
      <c r="M40">
        <f t="shared" si="12"/>
        <v>0.31037525543377298</v>
      </c>
      <c r="N40">
        <f t="shared" si="13"/>
        <v>0.44112887135034473</v>
      </c>
      <c r="O40">
        <f t="shared" si="14"/>
        <v>7.7489388874281639E-2</v>
      </c>
      <c r="P40">
        <f t="shared" si="15"/>
        <v>0.57457212713936434</v>
      </c>
    </row>
    <row r="41" spans="1:16" x14ac:dyDescent="0.25">
      <c r="A41" t="s">
        <v>69</v>
      </c>
      <c r="B41">
        <v>0.45671558610440277</v>
      </c>
      <c r="C41">
        <v>0.40703216795619307</v>
      </c>
      <c r="D41">
        <v>7.4221537768095258E-2</v>
      </c>
      <c r="E41" s="57">
        <v>0.48113623018203172</v>
      </c>
      <c r="F41" t="s">
        <v>138</v>
      </c>
      <c r="H41" t="str">
        <f t="shared" si="8"/>
        <v/>
      </c>
      <c r="I41" t="str">
        <f t="shared" si="9"/>
        <v/>
      </c>
      <c r="J41" t="str">
        <f t="shared" si="10"/>
        <v/>
      </c>
      <c r="K41" t="str">
        <f t="shared" si="11"/>
        <v/>
      </c>
      <c r="M41">
        <f t="shared" si="12"/>
        <v>0.45671558610440277</v>
      </c>
      <c r="N41">
        <f t="shared" si="13"/>
        <v>0.40703216795619307</v>
      </c>
      <c r="O41">
        <f t="shared" si="14"/>
        <v>7.4221537768095258E-2</v>
      </c>
      <c r="P41">
        <f t="shared" si="15"/>
        <v>0.48113623018203172</v>
      </c>
    </row>
    <row r="42" spans="1:16" x14ac:dyDescent="0.25">
      <c r="A42" t="s">
        <v>70</v>
      </c>
      <c r="B42">
        <v>8.3364295002786554E-2</v>
      </c>
      <c r="C42">
        <v>0.73294610592590947</v>
      </c>
      <c r="D42">
        <v>0.12010291852909138</v>
      </c>
      <c r="E42" s="57">
        <v>0.86955655206776283</v>
      </c>
      <c r="H42">
        <f t="shared" si="8"/>
        <v>8.3364295002786554E-2</v>
      </c>
      <c r="I42">
        <f t="shared" si="9"/>
        <v>0.73294610592590947</v>
      </c>
      <c r="J42">
        <f t="shared" si="10"/>
        <v>0.12010291852909138</v>
      </c>
      <c r="K42">
        <f t="shared" si="11"/>
        <v>0.86955655206776283</v>
      </c>
      <c r="M42" t="str">
        <f t="shared" si="12"/>
        <v/>
      </c>
      <c r="N42" t="str">
        <f t="shared" si="13"/>
        <v/>
      </c>
      <c r="O42" t="str">
        <f t="shared" si="14"/>
        <v/>
      </c>
      <c r="P42" t="str">
        <f t="shared" si="15"/>
        <v/>
      </c>
    </row>
    <row r="43" spans="1:16" x14ac:dyDescent="0.25">
      <c r="A43" t="s">
        <v>71</v>
      </c>
      <c r="B43">
        <v>0.1947101987739179</v>
      </c>
      <c r="C43">
        <v>0.28031125989314298</v>
      </c>
      <c r="D43">
        <v>5.8107651278969309E-2</v>
      </c>
      <c r="E43" s="57">
        <v>0.59379601452832043</v>
      </c>
      <c r="H43">
        <f t="shared" si="8"/>
        <v>0.1947101987739179</v>
      </c>
      <c r="I43">
        <f t="shared" si="9"/>
        <v>0.28031125989314298</v>
      </c>
      <c r="J43">
        <f t="shared" si="10"/>
        <v>5.8107651278969309E-2</v>
      </c>
      <c r="K43">
        <f t="shared" si="11"/>
        <v>0.59379601452832043</v>
      </c>
      <c r="M43" t="str">
        <f t="shared" si="12"/>
        <v/>
      </c>
      <c r="N43" t="str">
        <f t="shared" si="13"/>
        <v/>
      </c>
      <c r="O43" t="str">
        <f t="shared" si="14"/>
        <v/>
      </c>
      <c r="P43" t="str">
        <f t="shared" si="15"/>
        <v/>
      </c>
    </row>
    <row r="44" spans="1:16" x14ac:dyDescent="0.25">
      <c r="A44" t="s">
        <v>72</v>
      </c>
      <c r="B44">
        <v>0.50146293888166449</v>
      </c>
      <c r="C44">
        <v>0.36209457512137805</v>
      </c>
      <c r="D44">
        <v>6.3366262254441655E-2</v>
      </c>
      <c r="E44" s="57">
        <v>0.42998511904761905</v>
      </c>
      <c r="F44" t="s">
        <v>138</v>
      </c>
      <c r="H44" t="str">
        <f t="shared" si="8"/>
        <v/>
      </c>
      <c r="I44" t="str">
        <f t="shared" si="9"/>
        <v/>
      </c>
      <c r="J44" t="str">
        <f t="shared" si="10"/>
        <v/>
      </c>
      <c r="K44" t="str">
        <f t="shared" si="11"/>
        <v/>
      </c>
      <c r="M44">
        <f t="shared" si="12"/>
        <v>0.50146293888166449</v>
      </c>
      <c r="N44">
        <f t="shared" si="13"/>
        <v>0.36209457512137805</v>
      </c>
      <c r="O44">
        <f t="shared" si="14"/>
        <v>6.3366262254441655E-2</v>
      </c>
      <c r="P44">
        <f t="shared" si="15"/>
        <v>0.42998511904761905</v>
      </c>
    </row>
    <row r="45" spans="1:16" x14ac:dyDescent="0.25">
      <c r="A45" t="s">
        <v>73</v>
      </c>
      <c r="B45">
        <v>0.14039569013561212</v>
      </c>
      <c r="C45">
        <v>0.62850555346176873</v>
      </c>
      <c r="D45">
        <v>0.14359764113736243</v>
      </c>
      <c r="E45" s="57">
        <v>0.77336040296052633</v>
      </c>
      <c r="H45">
        <f t="shared" si="8"/>
        <v>0.14039569013561212</v>
      </c>
      <c r="I45">
        <f t="shared" si="9"/>
        <v>0.62850555346176873</v>
      </c>
      <c r="J45">
        <f t="shared" si="10"/>
        <v>0.14359764113736243</v>
      </c>
      <c r="K45">
        <f t="shared" si="11"/>
        <v>0.77336040296052633</v>
      </c>
      <c r="M45" t="str">
        <f t="shared" si="12"/>
        <v/>
      </c>
      <c r="N45" t="str">
        <f t="shared" si="13"/>
        <v/>
      </c>
      <c r="O45" t="str">
        <f t="shared" si="14"/>
        <v/>
      </c>
      <c r="P45" t="str">
        <f t="shared" si="15"/>
        <v/>
      </c>
    </row>
    <row r="46" spans="1:16" x14ac:dyDescent="0.25">
      <c r="A46" t="s">
        <v>74</v>
      </c>
      <c r="B46">
        <v>0.13705182983466468</v>
      </c>
      <c r="C46">
        <v>0.57748380699200375</v>
      </c>
      <c r="D46">
        <v>0.17197535965142921</v>
      </c>
      <c r="E46" s="57">
        <v>0.74311152045437101</v>
      </c>
      <c r="H46">
        <f t="shared" si="8"/>
        <v>0.13705182983466468</v>
      </c>
      <c r="I46">
        <f t="shared" si="9"/>
        <v>0.57748380699200375</v>
      </c>
      <c r="J46">
        <f t="shared" si="10"/>
        <v>0.17197535965142921</v>
      </c>
      <c r="K46">
        <f t="shared" si="11"/>
        <v>0.74311152045437101</v>
      </c>
      <c r="M46" t="str">
        <f t="shared" si="12"/>
        <v/>
      </c>
      <c r="N46" t="str">
        <f t="shared" si="13"/>
        <v/>
      </c>
      <c r="O46" t="str">
        <f t="shared" si="14"/>
        <v/>
      </c>
      <c r="P46" t="str">
        <f t="shared" si="15"/>
        <v/>
      </c>
    </row>
    <row r="47" spans="1:16" x14ac:dyDescent="0.25">
      <c r="A47" t="s">
        <v>75</v>
      </c>
      <c r="B47">
        <v>0.51604588519412964</v>
      </c>
      <c r="C47">
        <v>0.26344026426053607</v>
      </c>
      <c r="D47">
        <v>4.603162678886677E-2</v>
      </c>
      <c r="E47" s="57">
        <v>0.35293333688727779</v>
      </c>
      <c r="F47" t="s">
        <v>138</v>
      </c>
      <c r="H47" t="str">
        <f t="shared" si="8"/>
        <v/>
      </c>
      <c r="I47" t="str">
        <f t="shared" si="9"/>
        <v/>
      </c>
      <c r="J47" t="str">
        <f t="shared" si="10"/>
        <v/>
      </c>
      <c r="K47" t="str">
        <f t="shared" si="11"/>
        <v/>
      </c>
      <c r="M47">
        <f t="shared" si="12"/>
        <v>0.51604588519412964</v>
      </c>
      <c r="N47">
        <f t="shared" si="13"/>
        <v>0.26344026426053607</v>
      </c>
      <c r="O47">
        <f t="shared" si="14"/>
        <v>4.603162678886677E-2</v>
      </c>
      <c r="P47">
        <f t="shared" si="15"/>
        <v>0.35293333688727779</v>
      </c>
    </row>
    <row r="48" spans="1:16" x14ac:dyDescent="0.25">
      <c r="A48" t="s">
        <v>76</v>
      </c>
      <c r="B48">
        <v>0.30078487832063905</v>
      </c>
      <c r="C48">
        <v>0.49857006673021925</v>
      </c>
      <c r="D48">
        <v>6.1168914096833567E-2</v>
      </c>
      <c r="E48" s="57">
        <v>0.62287851431519214</v>
      </c>
      <c r="H48">
        <f t="shared" si="8"/>
        <v>0.30078487832063905</v>
      </c>
      <c r="I48">
        <f t="shared" si="9"/>
        <v>0.49857006673021925</v>
      </c>
      <c r="J48">
        <f t="shared" si="10"/>
        <v>6.1168914096833567E-2</v>
      </c>
      <c r="K48">
        <f t="shared" si="11"/>
        <v>0.62287851431519214</v>
      </c>
      <c r="M48" t="str">
        <f t="shared" si="12"/>
        <v/>
      </c>
      <c r="N48" t="str">
        <f t="shared" si="13"/>
        <v/>
      </c>
      <c r="O48" t="str">
        <f t="shared" si="14"/>
        <v/>
      </c>
      <c r="P48" t="str">
        <f t="shared" si="15"/>
        <v/>
      </c>
    </row>
    <row r="49" spans="1:16" x14ac:dyDescent="0.25">
      <c r="A49" s="61" t="s">
        <v>161</v>
      </c>
      <c r="B49">
        <v>0.42162827419654469</v>
      </c>
      <c r="C49">
        <v>0.37082936129647281</v>
      </c>
      <c r="D49">
        <v>3.2753634075799121E-2</v>
      </c>
      <c r="E49" s="57">
        <v>0.48536815607300188</v>
      </c>
      <c r="H49">
        <f t="shared" si="8"/>
        <v>0.42162827419654469</v>
      </c>
      <c r="I49">
        <f t="shared" si="9"/>
        <v>0.37082936129647281</v>
      </c>
      <c r="J49">
        <f t="shared" si="10"/>
        <v>3.2753634075799121E-2</v>
      </c>
      <c r="K49">
        <f t="shared" si="11"/>
        <v>0.48536815607300188</v>
      </c>
      <c r="M49" t="str">
        <f t="shared" si="12"/>
        <v/>
      </c>
      <c r="N49" t="str">
        <f t="shared" si="13"/>
        <v/>
      </c>
      <c r="O49" t="str">
        <f t="shared" si="14"/>
        <v/>
      </c>
      <c r="P49" t="str">
        <f t="shared" si="15"/>
        <v/>
      </c>
    </row>
    <row r="50" spans="1:16" x14ac:dyDescent="0.25">
      <c r="A50" t="s">
        <v>78</v>
      </c>
      <c r="B50">
        <v>0.32881292959316366</v>
      </c>
      <c r="C50">
        <v>0.43452235794887711</v>
      </c>
      <c r="D50">
        <v>6.0887202794576122E-2</v>
      </c>
      <c r="E50" s="57">
        <v>0.56279342723004699</v>
      </c>
      <c r="H50">
        <f t="shared" si="8"/>
        <v>0.32881292959316366</v>
      </c>
      <c r="I50">
        <f t="shared" si="9"/>
        <v>0.43452235794887711</v>
      </c>
      <c r="J50">
        <f t="shared" si="10"/>
        <v>6.0887202794576122E-2</v>
      </c>
      <c r="K50">
        <f t="shared" si="11"/>
        <v>0.56279342723004699</v>
      </c>
      <c r="M50" t="str">
        <f t="shared" si="12"/>
        <v/>
      </c>
      <c r="N50" t="str">
        <f t="shared" si="13"/>
        <v/>
      </c>
      <c r="O50" t="str">
        <f t="shared" si="14"/>
        <v/>
      </c>
      <c r="P50" t="str">
        <f t="shared" si="15"/>
        <v/>
      </c>
    </row>
    <row r="51" spans="1:16" x14ac:dyDescent="0.25">
      <c r="A51" t="s">
        <v>79</v>
      </c>
      <c r="B51">
        <v>0.1037757755898198</v>
      </c>
      <c r="C51">
        <v>0.66978517746691202</v>
      </c>
      <c r="D51">
        <v>0.14378544867220072</v>
      </c>
      <c r="E51" s="57">
        <v>0.82372399534823626</v>
      </c>
      <c r="F51" t="s">
        <v>138</v>
      </c>
      <c r="H51" t="str">
        <f t="shared" si="8"/>
        <v/>
      </c>
      <c r="I51" t="str">
        <f t="shared" si="9"/>
        <v/>
      </c>
      <c r="J51" t="str">
        <f t="shared" si="10"/>
        <v/>
      </c>
      <c r="K51" t="str">
        <f t="shared" si="11"/>
        <v/>
      </c>
      <c r="M51">
        <f t="shared" si="12"/>
        <v>0.1037757755898198</v>
      </c>
      <c r="N51">
        <f t="shared" si="13"/>
        <v>0.66978517746691202</v>
      </c>
      <c r="O51">
        <f t="shared" si="14"/>
        <v>0.14378544867220072</v>
      </c>
      <c r="P51">
        <f t="shared" si="15"/>
        <v>0.82372399534823626</v>
      </c>
    </row>
    <row r="52" spans="1:16" x14ac:dyDescent="0.25">
      <c r="A52" t="s">
        <v>80</v>
      </c>
      <c r="B52">
        <v>0.46486624558796208</v>
      </c>
      <c r="C52">
        <v>0.43755958055290756</v>
      </c>
      <c r="D52">
        <v>8.4588513691169293E-2</v>
      </c>
      <c r="E52" s="57">
        <v>0.48444883278087314</v>
      </c>
      <c r="H52">
        <f t="shared" si="8"/>
        <v>0.46486624558796208</v>
      </c>
      <c r="I52">
        <f t="shared" si="9"/>
        <v>0.43755958055290756</v>
      </c>
      <c r="J52">
        <f t="shared" si="10"/>
        <v>8.4588513691169293E-2</v>
      </c>
      <c r="K52">
        <f t="shared" si="11"/>
        <v>0.48444883278087314</v>
      </c>
      <c r="M52" t="str">
        <f t="shared" si="12"/>
        <v/>
      </c>
      <c r="N52" t="str">
        <f t="shared" si="13"/>
        <v/>
      </c>
      <c r="O52" t="str">
        <f t="shared" si="14"/>
        <v/>
      </c>
      <c r="P52" t="str">
        <f t="shared" si="15"/>
        <v/>
      </c>
    </row>
    <row r="53" spans="1:16" x14ac:dyDescent="0.25">
      <c r="A53" t="s">
        <v>160</v>
      </c>
      <c r="B53">
        <v>0.40435166264164962</v>
      </c>
      <c r="C53">
        <v>0.19318509322278138</v>
      </c>
      <c r="D53">
        <v>0.30791045336738909</v>
      </c>
      <c r="E53" s="57">
        <v>0.29634783596501191</v>
      </c>
      <c r="H53">
        <f t="shared" si="8"/>
        <v>0.40435166264164962</v>
      </c>
      <c r="I53">
        <f t="shared" si="9"/>
        <v>0.19318509322278138</v>
      </c>
      <c r="J53">
        <f t="shared" si="10"/>
        <v>0.30791045336738909</v>
      </c>
      <c r="K53">
        <f t="shared" si="11"/>
        <v>0.29634783596501191</v>
      </c>
      <c r="M53" t="str">
        <f t="shared" si="12"/>
        <v/>
      </c>
      <c r="N53" t="str">
        <f t="shared" si="13"/>
        <v/>
      </c>
      <c r="O53" t="str">
        <f t="shared" si="14"/>
        <v/>
      </c>
      <c r="P53" t="str">
        <f t="shared" si="15"/>
        <v/>
      </c>
    </row>
    <row r="54" spans="1:16" x14ac:dyDescent="0.25">
      <c r="A54" s="61" t="s">
        <v>159</v>
      </c>
      <c r="B54">
        <v>0.20276797324911761</v>
      </c>
      <c r="C54">
        <v>0.61172323586139621</v>
      </c>
      <c r="D54">
        <v>6.577019870037186E-2</v>
      </c>
      <c r="E54" s="57">
        <v>0.7438845704919661</v>
      </c>
      <c r="H54">
        <f t="shared" si="8"/>
        <v>0.20276797324911761</v>
      </c>
      <c r="I54">
        <f t="shared" si="9"/>
        <v>0.61172323586139621</v>
      </c>
      <c r="J54">
        <f t="shared" si="10"/>
        <v>6.577019870037186E-2</v>
      </c>
      <c r="K54">
        <f t="shared" si="11"/>
        <v>0.7438845704919661</v>
      </c>
      <c r="M54" t="str">
        <f t="shared" si="12"/>
        <v/>
      </c>
      <c r="N54" t="str">
        <f t="shared" si="13"/>
        <v/>
      </c>
      <c r="O54" t="str">
        <f t="shared" si="14"/>
        <v/>
      </c>
      <c r="P54" t="str">
        <f t="shared" si="15"/>
        <v/>
      </c>
    </row>
    <row r="55" spans="1:16" x14ac:dyDescent="0.25">
      <c r="A55" t="s">
        <v>81</v>
      </c>
      <c r="B55">
        <v>0.22687163291844697</v>
      </c>
      <c r="C55">
        <v>0.59108342385882462</v>
      </c>
      <c r="D55">
        <v>7.2362243173196103E-2</v>
      </c>
      <c r="E55" s="57">
        <v>0.70999924986872698</v>
      </c>
      <c r="F55" t="s">
        <v>138</v>
      </c>
      <c r="H55" t="str">
        <f t="shared" si="8"/>
        <v/>
      </c>
      <c r="I55" t="str">
        <f t="shared" si="9"/>
        <v/>
      </c>
      <c r="J55" t="str">
        <f t="shared" si="10"/>
        <v/>
      </c>
      <c r="K55" t="str">
        <f t="shared" si="11"/>
        <v/>
      </c>
      <c r="M55">
        <f t="shared" si="12"/>
        <v>0.22687163291844697</v>
      </c>
      <c r="N55">
        <f t="shared" si="13"/>
        <v>0.59108342385882462</v>
      </c>
      <c r="O55">
        <f t="shared" si="14"/>
        <v>7.2362243173196103E-2</v>
      </c>
      <c r="P55">
        <f t="shared" si="15"/>
        <v>0.70999924986872698</v>
      </c>
    </row>
    <row r="56" spans="1:16" x14ac:dyDescent="0.25">
      <c r="A56" t="s">
        <v>82</v>
      </c>
      <c r="B56">
        <v>0.4268298346646851</v>
      </c>
      <c r="C56">
        <v>0.44589319999156063</v>
      </c>
      <c r="D56">
        <v>6.6183375277016107E-2</v>
      </c>
      <c r="E56" s="57">
        <v>0.52066704675028508</v>
      </c>
      <c r="H56">
        <f t="shared" si="8"/>
        <v>0.4268298346646851</v>
      </c>
      <c r="I56">
        <f t="shared" si="9"/>
        <v>0.44589319999156063</v>
      </c>
      <c r="J56">
        <f t="shared" si="10"/>
        <v>6.6183375277016107E-2</v>
      </c>
      <c r="K56">
        <f t="shared" si="11"/>
        <v>0.52066704675028508</v>
      </c>
      <c r="M56" t="str">
        <f t="shared" si="12"/>
        <v/>
      </c>
      <c r="N56" t="str">
        <f t="shared" si="13"/>
        <v/>
      </c>
      <c r="O56" t="str">
        <f t="shared" si="14"/>
        <v/>
      </c>
      <c r="P56" t="str">
        <f t="shared" si="15"/>
        <v/>
      </c>
    </row>
    <row r="57" spans="1:16" x14ac:dyDescent="0.25">
      <c r="A57" t="s">
        <v>83</v>
      </c>
      <c r="B57">
        <v>0.46528422812558051</v>
      </c>
      <c r="C57">
        <v>0.32768749861440577</v>
      </c>
      <c r="D57">
        <v>6.347894677534463E-2</v>
      </c>
      <c r="E57" s="57">
        <v>0.43270099367660342</v>
      </c>
      <c r="H57">
        <f t="shared" si="8"/>
        <v>0.46528422812558051</v>
      </c>
      <c r="I57">
        <f t="shared" si="9"/>
        <v>0.32768749861440577</v>
      </c>
      <c r="J57">
        <f t="shared" si="10"/>
        <v>6.347894677534463E-2</v>
      </c>
      <c r="K57">
        <f t="shared" si="11"/>
        <v>0.43270099367660342</v>
      </c>
      <c r="M57" t="str">
        <f t="shared" si="12"/>
        <v/>
      </c>
      <c r="N57" t="str">
        <f t="shared" si="13"/>
        <v/>
      </c>
      <c r="O57" t="str">
        <f t="shared" si="14"/>
        <v/>
      </c>
      <c r="P57" t="str">
        <f t="shared" si="15"/>
        <v/>
      </c>
    </row>
    <row r="58" spans="1:16" x14ac:dyDescent="0.25">
      <c r="A58" s="61" t="s">
        <v>158</v>
      </c>
      <c r="B58">
        <v>0.33136726732305405</v>
      </c>
      <c r="C58">
        <v>0.52812202097235461</v>
      </c>
      <c r="D58">
        <v>4.7966044397701232E-2</v>
      </c>
      <c r="E58" s="57">
        <v>0.62033939990162323</v>
      </c>
      <c r="F58" t="s">
        <v>138</v>
      </c>
      <c r="H58" t="str">
        <f t="shared" si="8"/>
        <v/>
      </c>
      <c r="I58" t="str">
        <f t="shared" si="9"/>
        <v/>
      </c>
      <c r="J58" t="str">
        <f t="shared" si="10"/>
        <v/>
      </c>
      <c r="K58" t="str">
        <f t="shared" si="11"/>
        <v/>
      </c>
      <c r="M58">
        <f t="shared" si="12"/>
        <v>0.33136726732305405</v>
      </c>
      <c r="N58">
        <f t="shared" si="13"/>
        <v>0.52812202097235461</v>
      </c>
      <c r="O58">
        <f t="shared" si="14"/>
        <v>4.7966044397701232E-2</v>
      </c>
      <c r="P58">
        <f t="shared" si="15"/>
        <v>0.62033939990162323</v>
      </c>
    </row>
    <row r="59" spans="1:16" x14ac:dyDescent="0.25">
      <c r="A59" s="61" t="s">
        <v>157</v>
      </c>
      <c r="B59">
        <v>0.18799925691993313</v>
      </c>
      <c r="C59">
        <v>0.61060826634597132</v>
      </c>
      <c r="D59">
        <v>3.8143710325658269E-2</v>
      </c>
      <c r="E59" s="57">
        <v>0.77237221494102226</v>
      </c>
      <c r="F59" t="s">
        <v>138</v>
      </c>
      <c r="H59" t="str">
        <f t="shared" si="8"/>
        <v/>
      </c>
      <c r="I59" t="str">
        <f t="shared" si="9"/>
        <v/>
      </c>
      <c r="J59" t="str">
        <f t="shared" si="10"/>
        <v/>
      </c>
      <c r="K59" t="str">
        <f t="shared" si="11"/>
        <v/>
      </c>
      <c r="M59">
        <f t="shared" si="12"/>
        <v>0.18799925691993313</v>
      </c>
      <c r="N59">
        <f t="shared" si="13"/>
        <v>0.61060826634597132</v>
      </c>
      <c r="O59">
        <f t="shared" si="14"/>
        <v>3.8143710325658269E-2</v>
      </c>
      <c r="P59">
        <f t="shared" si="15"/>
        <v>0.77237221494102226</v>
      </c>
    </row>
    <row r="60" spans="1:16" x14ac:dyDescent="0.25">
      <c r="A60" t="s">
        <v>156</v>
      </c>
      <c r="B60">
        <v>0.19577837637005388</v>
      </c>
      <c r="C60">
        <v>0.66278456442390865</v>
      </c>
      <c r="D60">
        <v>2.9617248243999549E-2</v>
      </c>
      <c r="E60" s="57">
        <v>0.77905769277210268</v>
      </c>
      <c r="F60" t="s">
        <v>138</v>
      </c>
      <c r="H60" t="str">
        <f t="shared" si="8"/>
        <v/>
      </c>
      <c r="I60" t="str">
        <f t="shared" si="9"/>
        <v/>
      </c>
      <c r="J60" t="str">
        <f t="shared" si="10"/>
        <v/>
      </c>
      <c r="K60" t="str">
        <f t="shared" si="11"/>
        <v/>
      </c>
      <c r="M60">
        <f t="shared" si="12"/>
        <v>0.19577837637005388</v>
      </c>
      <c r="N60">
        <f t="shared" si="13"/>
        <v>0.66278456442390865</v>
      </c>
      <c r="O60">
        <f t="shared" si="14"/>
        <v>2.9617248243999549E-2</v>
      </c>
      <c r="P60">
        <f t="shared" si="15"/>
        <v>0.77905769277210268</v>
      </c>
    </row>
    <row r="61" spans="1:16" x14ac:dyDescent="0.25">
      <c r="A61" t="s">
        <v>86</v>
      </c>
      <c r="B61">
        <v>0.1370982723388445</v>
      </c>
      <c r="C61">
        <v>0.62617887208051137</v>
      </c>
      <c r="D61">
        <v>5.7919843744131012E-2</v>
      </c>
      <c r="E61" s="57">
        <v>0.78581180033261355</v>
      </c>
      <c r="H61">
        <f t="shared" si="8"/>
        <v>0.1370982723388445</v>
      </c>
      <c r="I61">
        <f t="shared" si="9"/>
        <v>0.62617887208051137</v>
      </c>
      <c r="J61">
        <f t="shared" si="10"/>
        <v>5.7919843744131012E-2</v>
      </c>
      <c r="K61">
        <f t="shared" si="11"/>
        <v>0.78581180033261355</v>
      </c>
      <c r="M61" t="str">
        <f t="shared" si="12"/>
        <v/>
      </c>
      <c r="N61" t="str">
        <f t="shared" si="13"/>
        <v/>
      </c>
      <c r="O61" t="str">
        <f t="shared" si="14"/>
        <v/>
      </c>
      <c r="P61" t="str">
        <f t="shared" si="15"/>
        <v/>
      </c>
    </row>
    <row r="62" spans="1:16" x14ac:dyDescent="0.25">
      <c r="A62" t="s">
        <v>87</v>
      </c>
      <c r="B62">
        <v>0.31155953929035851</v>
      </c>
      <c r="C62">
        <v>0.35630833351807922</v>
      </c>
      <c r="D62">
        <v>0.12226270517973181</v>
      </c>
      <c r="E62" s="57">
        <v>0.52551907816066967</v>
      </c>
      <c r="H62">
        <f t="shared" si="8"/>
        <v>0.31155953929035851</v>
      </c>
      <c r="I62">
        <f t="shared" si="9"/>
        <v>0.35630833351807922</v>
      </c>
      <c r="J62">
        <f t="shared" si="10"/>
        <v>0.12226270517973181</v>
      </c>
      <c r="K62">
        <f t="shared" si="11"/>
        <v>0.52551907816066967</v>
      </c>
      <c r="M62" t="str">
        <f t="shared" si="12"/>
        <v/>
      </c>
      <c r="N62" t="str">
        <f t="shared" si="13"/>
        <v/>
      </c>
      <c r="O62" t="str">
        <f t="shared" si="14"/>
        <v/>
      </c>
      <c r="P62" t="str">
        <f t="shared" si="15"/>
        <v/>
      </c>
    </row>
    <row r="63" spans="1:16" x14ac:dyDescent="0.25">
      <c r="A63" t="s">
        <v>89</v>
      </c>
      <c r="B63">
        <v>3.6689578302062049E-2</v>
      </c>
      <c r="C63">
        <v>0.27847754077262277</v>
      </c>
      <c r="D63">
        <v>2.8753333583743379E-2</v>
      </c>
      <c r="E63" s="57">
        <v>0.76071720801166887</v>
      </c>
      <c r="F63" t="s">
        <v>138</v>
      </c>
      <c r="H63" t="str">
        <f t="shared" si="8"/>
        <v/>
      </c>
      <c r="I63" t="str">
        <f t="shared" si="9"/>
        <v/>
      </c>
      <c r="J63" t="str">
        <f t="shared" si="10"/>
        <v/>
      </c>
      <c r="K63" t="str">
        <f t="shared" si="11"/>
        <v/>
      </c>
      <c r="M63">
        <f t="shared" si="12"/>
        <v>3.6689578302062049E-2</v>
      </c>
      <c r="N63">
        <f t="shared" si="13"/>
        <v>0.27847754077262277</v>
      </c>
      <c r="O63">
        <f t="shared" si="14"/>
        <v>2.8753333583743379E-2</v>
      </c>
      <c r="P63">
        <f t="shared" si="15"/>
        <v>0.76071720801166887</v>
      </c>
    </row>
    <row r="64" spans="1:16" x14ac:dyDescent="0.25">
      <c r="A64" t="s">
        <v>90</v>
      </c>
      <c r="B64">
        <v>0.11334293145086383</v>
      </c>
      <c r="C64">
        <v>0.67448511317533866</v>
      </c>
      <c r="D64">
        <v>0.17171242910265561</v>
      </c>
      <c r="E64" s="57">
        <v>0.80327097014000748</v>
      </c>
      <c r="H64">
        <f t="shared" si="8"/>
        <v>0.11334293145086383</v>
      </c>
      <c r="I64">
        <f t="shared" si="9"/>
        <v>0.67448511317533866</v>
      </c>
      <c r="J64">
        <f t="shared" si="10"/>
        <v>0.17171242910265561</v>
      </c>
      <c r="K64">
        <f t="shared" si="11"/>
        <v>0.80327097014000748</v>
      </c>
      <c r="M64" t="str">
        <f t="shared" si="12"/>
        <v/>
      </c>
      <c r="N64" t="str">
        <f t="shared" si="13"/>
        <v/>
      </c>
      <c r="O64" t="str">
        <f t="shared" si="14"/>
        <v/>
      </c>
      <c r="P64" t="str">
        <f t="shared" si="15"/>
        <v/>
      </c>
    </row>
    <row r="65" spans="1:16" x14ac:dyDescent="0.25">
      <c r="A65" t="s">
        <v>155</v>
      </c>
      <c r="B65">
        <v>0.43458573286271596</v>
      </c>
      <c r="C65">
        <v>0.43423415434411511</v>
      </c>
      <c r="D65">
        <v>7.4559591330804198E-2</v>
      </c>
      <c r="E65" s="57">
        <v>0.50533954662395031</v>
      </c>
      <c r="F65" t="s">
        <v>138</v>
      </c>
      <c r="H65" t="str">
        <f t="shared" si="8"/>
        <v/>
      </c>
      <c r="I65" t="str">
        <f t="shared" si="9"/>
        <v/>
      </c>
      <c r="J65" t="str">
        <f t="shared" si="10"/>
        <v/>
      </c>
      <c r="K65" t="str">
        <f t="shared" si="11"/>
        <v/>
      </c>
      <c r="M65">
        <f t="shared" si="12"/>
        <v>0.43458573286271596</v>
      </c>
      <c r="N65">
        <f t="shared" si="13"/>
        <v>0.43423415434411511</v>
      </c>
      <c r="O65">
        <f t="shared" si="14"/>
        <v>7.4559591330804198E-2</v>
      </c>
      <c r="P65">
        <f t="shared" si="15"/>
        <v>0.50533954662395031</v>
      </c>
    </row>
    <row r="66" spans="1:16" x14ac:dyDescent="0.25">
      <c r="A66" t="s">
        <v>92</v>
      </c>
      <c r="B66">
        <v>0.15832249674902471</v>
      </c>
      <c r="C66">
        <v>0.54130008228368887</v>
      </c>
      <c r="D66">
        <v>4.766555234195996E-2</v>
      </c>
      <c r="E66" s="57">
        <v>0.74226376984229747</v>
      </c>
      <c r="F66" t="s">
        <v>138</v>
      </c>
      <c r="H66" t="str">
        <f t="shared" si="8"/>
        <v/>
      </c>
      <c r="I66" t="str">
        <f t="shared" si="9"/>
        <v/>
      </c>
      <c r="J66" t="str">
        <f t="shared" si="10"/>
        <v/>
      </c>
      <c r="K66" t="str">
        <f t="shared" si="11"/>
        <v/>
      </c>
      <c r="M66">
        <f t="shared" si="12"/>
        <v>0.15832249674902471</v>
      </c>
      <c r="N66">
        <f t="shared" si="13"/>
        <v>0.54130008228368887</v>
      </c>
      <c r="O66">
        <f t="shared" si="14"/>
        <v>4.766555234195996E-2</v>
      </c>
      <c r="P66">
        <f t="shared" si="15"/>
        <v>0.74226376984229747</v>
      </c>
    </row>
    <row r="67" spans="1:16" x14ac:dyDescent="0.25">
      <c r="A67" t="s">
        <v>93</v>
      </c>
      <c r="B67">
        <v>0.12597529258777634</v>
      </c>
      <c r="C67">
        <v>0.62054560415216153</v>
      </c>
      <c r="D67">
        <v>0.10340682868196673</v>
      </c>
      <c r="E67" s="57">
        <v>0.79078768615589679</v>
      </c>
      <c r="H67">
        <f t="shared" ref="H67:H95" si="16">IF($F67&lt;&gt;"NOTSYD",B67,"")</f>
        <v>0.12597529258777634</v>
      </c>
      <c r="I67">
        <f t="shared" ref="I67:I95" si="17">IF($F67&lt;&gt;"NOTSYD",C67,"")</f>
        <v>0.62054560415216153</v>
      </c>
      <c r="J67">
        <f t="shared" ref="J67:J95" si="18">IF($F67&lt;&gt;"NOTSYD",D67,"")</f>
        <v>0.10340682868196673</v>
      </c>
      <c r="K67">
        <f t="shared" ref="K67:K95" si="19">IF($F67&lt;&gt;"NOTSYD",E67,"")</f>
        <v>0.79078768615589679</v>
      </c>
      <c r="M67" t="str">
        <f t="shared" ref="M67:M95" si="20">IF($F67="NOTSYD",B67,"")</f>
        <v/>
      </c>
      <c r="N67" t="str">
        <f t="shared" ref="N67:N95" si="21">IF($F67="NOTSYD",C67,"")</f>
        <v/>
      </c>
      <c r="O67" t="str">
        <f t="shared" ref="O67:O95" si="22">IF($F67="NOTSYD",D67,"")</f>
        <v/>
      </c>
      <c r="P67" t="str">
        <f t="shared" ref="P67:P95" si="23">IF($F67="NOTSYD",E67,"")</f>
        <v/>
      </c>
    </row>
    <row r="68" spans="1:16" x14ac:dyDescent="0.25">
      <c r="A68" t="s">
        <v>94</v>
      </c>
      <c r="B68">
        <v>0.28852405721716518</v>
      </c>
      <c r="C68">
        <v>0.48047974815438843</v>
      </c>
      <c r="D68">
        <v>7.1479547759456113E-2</v>
      </c>
      <c r="E68" s="57">
        <v>0.62069598510476487</v>
      </c>
      <c r="H68">
        <f t="shared" si="16"/>
        <v>0.28852405721716518</v>
      </c>
      <c r="I68">
        <f t="shared" si="17"/>
        <v>0.48047974815438843</v>
      </c>
      <c r="J68">
        <f t="shared" si="18"/>
        <v>7.1479547759456113E-2</v>
      </c>
      <c r="K68">
        <f t="shared" si="19"/>
        <v>0.62069598510476487</v>
      </c>
      <c r="M68" t="str">
        <f t="shared" si="20"/>
        <v/>
      </c>
      <c r="N68" t="str">
        <f t="shared" si="21"/>
        <v/>
      </c>
      <c r="O68" t="str">
        <f t="shared" si="22"/>
        <v/>
      </c>
      <c r="P68" t="str">
        <f t="shared" si="23"/>
        <v/>
      </c>
    </row>
    <row r="69" spans="1:16" x14ac:dyDescent="0.25">
      <c r="A69" t="s">
        <v>95</v>
      </c>
      <c r="B69">
        <v>0.25153260263793425</v>
      </c>
      <c r="C69">
        <v>0.51153922894450976</v>
      </c>
      <c r="D69">
        <v>7.9480148743567597E-2</v>
      </c>
      <c r="E69" s="57">
        <v>0.66326503565086015</v>
      </c>
      <c r="H69">
        <f t="shared" si="16"/>
        <v>0.25153260263793425</v>
      </c>
      <c r="I69">
        <f t="shared" si="17"/>
        <v>0.51153922894450976</v>
      </c>
      <c r="J69">
        <f t="shared" si="18"/>
        <v>7.9480148743567597E-2</v>
      </c>
      <c r="K69">
        <f t="shared" si="19"/>
        <v>0.66326503565086015</v>
      </c>
      <c r="M69" t="str">
        <f t="shared" si="20"/>
        <v/>
      </c>
      <c r="N69" t="str">
        <f t="shared" si="21"/>
        <v/>
      </c>
      <c r="O69" t="str">
        <f t="shared" si="22"/>
        <v/>
      </c>
      <c r="P69" t="str">
        <f t="shared" si="23"/>
        <v/>
      </c>
    </row>
    <row r="70" spans="1:16" x14ac:dyDescent="0.25">
      <c r="A70" t="s">
        <v>96</v>
      </c>
      <c r="B70">
        <v>9.3419097157718747E-2</v>
      </c>
      <c r="C70">
        <v>0.71441239718890637</v>
      </c>
      <c r="D70">
        <v>0.14153175825414116</v>
      </c>
      <c r="E70" s="57">
        <v>0.84507741167129813</v>
      </c>
      <c r="F70" t="s">
        <v>138</v>
      </c>
      <c r="H70" t="str">
        <f t="shared" si="16"/>
        <v/>
      </c>
      <c r="I70" t="str">
        <f t="shared" si="17"/>
        <v/>
      </c>
      <c r="J70" t="str">
        <f t="shared" si="18"/>
        <v/>
      </c>
      <c r="K70" t="str">
        <f t="shared" si="19"/>
        <v/>
      </c>
      <c r="M70">
        <f t="shared" si="20"/>
        <v>9.3419097157718747E-2</v>
      </c>
      <c r="N70">
        <f t="shared" si="21"/>
        <v>0.71441239718890637</v>
      </c>
      <c r="O70">
        <f t="shared" si="22"/>
        <v>0.14153175825414116</v>
      </c>
      <c r="P70">
        <f t="shared" si="23"/>
        <v>0.84507741167129813</v>
      </c>
    </row>
    <row r="71" spans="1:16" x14ac:dyDescent="0.25">
      <c r="A71" t="s">
        <v>97</v>
      </c>
      <c r="B71">
        <v>5.974828162734535E-2</v>
      </c>
      <c r="C71">
        <v>0.50041141844420534</v>
      </c>
      <c r="D71">
        <v>3.1007024001802951E-2</v>
      </c>
      <c r="E71" s="57">
        <v>0.78745010565860529</v>
      </c>
      <c r="F71" t="s">
        <v>138</v>
      </c>
      <c r="H71" t="str">
        <f t="shared" si="16"/>
        <v/>
      </c>
      <c r="I71" t="str">
        <f t="shared" si="17"/>
        <v/>
      </c>
      <c r="J71" t="str">
        <f t="shared" si="18"/>
        <v/>
      </c>
      <c r="K71" t="str">
        <f t="shared" si="19"/>
        <v/>
      </c>
      <c r="M71">
        <f t="shared" si="20"/>
        <v>5.974828162734535E-2</v>
      </c>
      <c r="N71">
        <f t="shared" si="21"/>
        <v>0.50041141844420534</v>
      </c>
      <c r="O71">
        <f t="shared" si="22"/>
        <v>3.1007024001802951E-2</v>
      </c>
      <c r="P71">
        <f t="shared" si="23"/>
        <v>0.78745010565860529</v>
      </c>
    </row>
    <row r="72" spans="1:16" x14ac:dyDescent="0.25">
      <c r="A72" t="s">
        <v>98</v>
      </c>
      <c r="B72">
        <v>0.29679082296117404</v>
      </c>
      <c r="C72">
        <v>0.50892322699359305</v>
      </c>
      <c r="D72">
        <v>7.6287420651316537E-2</v>
      </c>
      <c r="E72" s="57">
        <v>0.62446924817573923</v>
      </c>
      <c r="H72">
        <f t="shared" si="16"/>
        <v>0.29679082296117404</v>
      </c>
      <c r="I72">
        <f t="shared" si="17"/>
        <v>0.50892322699359305</v>
      </c>
      <c r="J72">
        <f t="shared" si="18"/>
        <v>7.6287420651316537E-2</v>
      </c>
      <c r="K72">
        <f t="shared" si="19"/>
        <v>0.62446924817573923</v>
      </c>
      <c r="M72" t="str">
        <f t="shared" si="20"/>
        <v/>
      </c>
      <c r="N72" t="str">
        <f t="shared" si="21"/>
        <v/>
      </c>
      <c r="O72" t="str">
        <f t="shared" si="22"/>
        <v/>
      </c>
      <c r="P72" t="str">
        <f t="shared" si="23"/>
        <v/>
      </c>
    </row>
    <row r="73" spans="1:16" x14ac:dyDescent="0.25">
      <c r="A73" t="s">
        <v>100</v>
      </c>
      <c r="B73">
        <v>0.27895690135612111</v>
      </c>
      <c r="C73">
        <v>0.66444232602478548</v>
      </c>
      <c r="D73">
        <v>5.5271757502911016E-2</v>
      </c>
      <c r="E73" s="57">
        <v>0.70171423541579558</v>
      </c>
      <c r="H73">
        <f t="shared" si="16"/>
        <v>0.27895690135612111</v>
      </c>
      <c r="I73">
        <f t="shared" si="17"/>
        <v>0.66444232602478548</v>
      </c>
      <c r="J73">
        <f t="shared" si="18"/>
        <v>5.5271757502911016E-2</v>
      </c>
      <c r="K73">
        <f t="shared" si="19"/>
        <v>0.70171423541579558</v>
      </c>
      <c r="M73" t="str">
        <f t="shared" si="20"/>
        <v/>
      </c>
      <c r="N73" t="str">
        <f t="shared" si="21"/>
        <v/>
      </c>
      <c r="O73" t="str">
        <f t="shared" si="22"/>
        <v/>
      </c>
      <c r="P73" t="str">
        <f t="shared" si="23"/>
        <v/>
      </c>
    </row>
    <row r="74" spans="1:16" x14ac:dyDescent="0.25">
      <c r="A74" t="s">
        <v>101</v>
      </c>
      <c r="B74">
        <v>0.37130782091770387</v>
      </c>
      <c r="C74">
        <v>0.42281685769392779</v>
      </c>
      <c r="D74">
        <v>7.2812981256808018E-2</v>
      </c>
      <c r="E74" s="57">
        <v>0.53573570441448726</v>
      </c>
      <c r="H74">
        <f t="shared" si="16"/>
        <v>0.37130782091770387</v>
      </c>
      <c r="I74">
        <f t="shared" si="17"/>
        <v>0.42281685769392779</v>
      </c>
      <c r="J74">
        <f t="shared" si="18"/>
        <v>7.2812981256808018E-2</v>
      </c>
      <c r="K74">
        <f t="shared" si="19"/>
        <v>0.53573570441448726</v>
      </c>
      <c r="M74" t="str">
        <f t="shared" si="20"/>
        <v/>
      </c>
      <c r="N74" t="str">
        <f t="shared" si="21"/>
        <v/>
      </c>
      <c r="O74" t="str">
        <f t="shared" si="22"/>
        <v/>
      </c>
      <c r="P74" t="str">
        <f t="shared" si="23"/>
        <v/>
      </c>
    </row>
    <row r="75" spans="1:16" x14ac:dyDescent="0.25">
      <c r="A75" s="61" t="s">
        <v>154</v>
      </c>
      <c r="B75">
        <v>0.17123351291101616</v>
      </c>
      <c r="C75">
        <v>0.60405258607311507</v>
      </c>
      <c r="D75">
        <v>7.4540810577320357E-2</v>
      </c>
      <c r="E75" s="57">
        <v>0.75693520319377627</v>
      </c>
      <c r="H75">
        <f t="shared" si="16"/>
        <v>0.17123351291101616</v>
      </c>
      <c r="I75">
        <f t="shared" si="17"/>
        <v>0.60405258607311507</v>
      </c>
      <c r="J75">
        <f t="shared" si="18"/>
        <v>7.4540810577320357E-2</v>
      </c>
      <c r="K75">
        <f t="shared" si="19"/>
        <v>0.75693520319377627</v>
      </c>
      <c r="M75" t="str">
        <f t="shared" si="20"/>
        <v/>
      </c>
      <c r="N75" t="str">
        <f t="shared" si="21"/>
        <v/>
      </c>
      <c r="O75" t="str">
        <f t="shared" si="22"/>
        <v/>
      </c>
      <c r="P75" t="str">
        <f t="shared" si="23"/>
        <v/>
      </c>
    </row>
    <row r="76" spans="1:16" x14ac:dyDescent="0.25">
      <c r="A76" s="61" t="s">
        <v>153</v>
      </c>
      <c r="B76">
        <v>0.47508359650752369</v>
      </c>
      <c r="C76">
        <v>0.30518544793491031</v>
      </c>
      <c r="D76">
        <v>0.12583104834165948</v>
      </c>
      <c r="E76" s="57">
        <v>0.41379843762085233</v>
      </c>
      <c r="H76">
        <f t="shared" si="16"/>
        <v>0.47508359650752369</v>
      </c>
      <c r="I76">
        <f t="shared" si="17"/>
        <v>0.30518544793491031</v>
      </c>
      <c r="J76">
        <f t="shared" si="18"/>
        <v>0.12583104834165948</v>
      </c>
      <c r="K76">
        <f t="shared" si="19"/>
        <v>0.41379843762085233</v>
      </c>
      <c r="M76" t="str">
        <f t="shared" si="20"/>
        <v/>
      </c>
      <c r="N76" t="str">
        <f t="shared" si="21"/>
        <v/>
      </c>
      <c r="O76" t="str">
        <f t="shared" si="22"/>
        <v/>
      </c>
      <c r="P76" t="str">
        <f t="shared" si="23"/>
        <v/>
      </c>
    </row>
    <row r="77" spans="1:16" x14ac:dyDescent="0.25">
      <c r="A77" t="s">
        <v>152</v>
      </c>
      <c r="B77">
        <v>0.40226174995355751</v>
      </c>
      <c r="C77">
        <v>0.47538076130090673</v>
      </c>
      <c r="D77">
        <v>7.1704916801262064E-2</v>
      </c>
      <c r="E77" s="57">
        <v>0.54839478513716422</v>
      </c>
      <c r="F77" t="s">
        <v>138</v>
      </c>
      <c r="H77" t="str">
        <f t="shared" si="16"/>
        <v/>
      </c>
      <c r="I77" t="str">
        <f t="shared" si="17"/>
        <v/>
      </c>
      <c r="J77" t="str">
        <f t="shared" si="18"/>
        <v/>
      </c>
      <c r="K77" t="str">
        <f t="shared" si="19"/>
        <v/>
      </c>
      <c r="M77">
        <f t="shared" si="20"/>
        <v>0.40226174995355751</v>
      </c>
      <c r="N77">
        <f t="shared" si="21"/>
        <v>0.47538076130090673</v>
      </c>
      <c r="O77">
        <f t="shared" si="22"/>
        <v>7.1704916801262064E-2</v>
      </c>
      <c r="P77">
        <f t="shared" si="23"/>
        <v>0.54839478513716422</v>
      </c>
    </row>
    <row r="78" spans="1:16" x14ac:dyDescent="0.25">
      <c r="A78" t="s">
        <v>105</v>
      </c>
      <c r="B78">
        <v>0.23743730261935725</v>
      </c>
      <c r="C78">
        <v>0.6114350322566342</v>
      </c>
      <c r="D78">
        <v>0.1105810765127897</v>
      </c>
      <c r="E78" s="57">
        <v>0.70395068243421521</v>
      </c>
      <c r="F78" t="s">
        <v>138</v>
      </c>
      <c r="H78" t="str">
        <f t="shared" si="16"/>
        <v/>
      </c>
      <c r="I78" t="str">
        <f t="shared" si="17"/>
        <v/>
      </c>
      <c r="J78" t="str">
        <f t="shared" si="18"/>
        <v/>
      </c>
      <c r="K78" t="str">
        <f t="shared" si="19"/>
        <v/>
      </c>
      <c r="M78">
        <f t="shared" si="20"/>
        <v>0.23743730261935725</v>
      </c>
      <c r="N78">
        <f t="shared" si="21"/>
        <v>0.6114350322566342</v>
      </c>
      <c r="O78">
        <f t="shared" si="22"/>
        <v>0.1105810765127897</v>
      </c>
      <c r="P78">
        <f t="shared" si="23"/>
        <v>0.70395068243421521</v>
      </c>
    </row>
    <row r="79" spans="1:16" x14ac:dyDescent="0.25">
      <c r="A79" t="s">
        <v>106</v>
      </c>
      <c r="B79">
        <v>0.36181032881292957</v>
      </c>
      <c r="C79">
        <v>0.44341233068038222</v>
      </c>
      <c r="D79">
        <v>0.10902227397363182</v>
      </c>
      <c r="E79" s="57">
        <v>0.54396091238196498</v>
      </c>
      <c r="H79">
        <f t="shared" si="16"/>
        <v>0.36181032881292957</v>
      </c>
      <c r="I79">
        <f t="shared" si="17"/>
        <v>0.44341233068038222</v>
      </c>
      <c r="J79">
        <f t="shared" si="18"/>
        <v>0.10902227397363182</v>
      </c>
      <c r="K79">
        <f t="shared" si="19"/>
        <v>0.54396091238196498</v>
      </c>
      <c r="M79" t="str">
        <f t="shared" si="20"/>
        <v/>
      </c>
      <c r="N79" t="str">
        <f t="shared" si="21"/>
        <v/>
      </c>
      <c r="O79" t="str">
        <f t="shared" si="22"/>
        <v/>
      </c>
      <c r="P79" t="str">
        <f t="shared" si="23"/>
        <v/>
      </c>
    </row>
    <row r="80" spans="1:16" x14ac:dyDescent="0.25">
      <c r="A80" t="s">
        <v>108</v>
      </c>
      <c r="B80">
        <v>0.37462845996656141</v>
      </c>
      <c r="C80">
        <v>0.38315560777706342</v>
      </c>
      <c r="D80">
        <v>7.2211997145325474E-2</v>
      </c>
      <c r="E80" s="57">
        <v>0.51132109570650353</v>
      </c>
      <c r="H80">
        <f t="shared" si="16"/>
        <v>0.37462845996656141</v>
      </c>
      <c r="I80">
        <f t="shared" si="17"/>
        <v>0.38315560777706342</v>
      </c>
      <c r="J80">
        <f t="shared" si="18"/>
        <v>7.2211997145325474E-2</v>
      </c>
      <c r="K80">
        <f t="shared" si="19"/>
        <v>0.51132109570650353</v>
      </c>
      <c r="M80" t="str">
        <f t="shared" si="20"/>
        <v/>
      </c>
      <c r="N80" t="str">
        <f t="shared" si="21"/>
        <v/>
      </c>
      <c r="O80" t="str">
        <f t="shared" si="22"/>
        <v/>
      </c>
      <c r="P80" t="str">
        <f t="shared" si="23"/>
        <v/>
      </c>
    </row>
    <row r="81" spans="1:16" x14ac:dyDescent="0.25">
      <c r="A81" s="61" t="s">
        <v>151</v>
      </c>
      <c r="B81">
        <v>0.12184190971577187</v>
      </c>
      <c r="C81">
        <v>0.3736670583279757</v>
      </c>
      <c r="D81">
        <v>0.11195207151710927</v>
      </c>
      <c r="E81" s="57">
        <v>0.65517241379310343</v>
      </c>
      <c r="F81" t="s">
        <v>138</v>
      </c>
      <c r="H81" t="str">
        <f t="shared" si="16"/>
        <v/>
      </c>
      <c r="I81" t="str">
        <f t="shared" si="17"/>
        <v/>
      </c>
      <c r="J81" t="str">
        <f t="shared" si="18"/>
        <v/>
      </c>
      <c r="K81" t="str">
        <f t="shared" si="19"/>
        <v/>
      </c>
      <c r="M81">
        <f t="shared" si="20"/>
        <v>0.12184190971577187</v>
      </c>
      <c r="N81">
        <f t="shared" si="21"/>
        <v>0.3736670583279757</v>
      </c>
      <c r="O81">
        <f t="shared" si="22"/>
        <v>0.11195207151710927</v>
      </c>
      <c r="P81">
        <f t="shared" si="23"/>
        <v>0.65517241379310343</v>
      </c>
    </row>
    <row r="82" spans="1:16" x14ac:dyDescent="0.25">
      <c r="A82" t="s">
        <v>110</v>
      </c>
      <c r="B82">
        <v>5.0320453278840792E-2</v>
      </c>
      <c r="C82">
        <v>0.53241766356520459</v>
      </c>
      <c r="D82">
        <v>1.3559704015325094E-2</v>
      </c>
      <c r="E82" s="57">
        <v>0.80596701334173759</v>
      </c>
      <c r="H82">
        <f t="shared" si="16"/>
        <v>5.0320453278840792E-2</v>
      </c>
      <c r="I82">
        <f t="shared" si="17"/>
        <v>0.53241766356520459</v>
      </c>
      <c r="J82">
        <f t="shared" si="18"/>
        <v>1.3559704015325094E-2</v>
      </c>
      <c r="K82">
        <f t="shared" si="19"/>
        <v>0.80596701334173759</v>
      </c>
      <c r="M82" t="str">
        <f t="shared" si="20"/>
        <v/>
      </c>
      <c r="N82" t="str">
        <f t="shared" si="21"/>
        <v/>
      </c>
      <c r="O82" t="str">
        <f t="shared" si="22"/>
        <v/>
      </c>
      <c r="P82" t="str">
        <f t="shared" si="23"/>
        <v/>
      </c>
    </row>
    <row r="83" spans="1:16" x14ac:dyDescent="0.25">
      <c r="A83" s="61" t="s">
        <v>150</v>
      </c>
      <c r="B83">
        <v>0.18089355378041985</v>
      </c>
      <c r="C83">
        <v>0.59274613696322076</v>
      </c>
      <c r="D83">
        <v>0.11131352589865906</v>
      </c>
      <c r="E83" s="57">
        <v>0.74148542220831382</v>
      </c>
      <c r="F83" t="s">
        <v>138</v>
      </c>
      <c r="H83" t="str">
        <f t="shared" si="16"/>
        <v/>
      </c>
      <c r="I83" t="str">
        <f t="shared" si="17"/>
        <v/>
      </c>
      <c r="J83" t="str">
        <f t="shared" si="18"/>
        <v/>
      </c>
      <c r="K83" t="str">
        <f t="shared" si="19"/>
        <v/>
      </c>
      <c r="M83">
        <f t="shared" si="20"/>
        <v>0.18089355378041985</v>
      </c>
      <c r="N83">
        <f t="shared" si="21"/>
        <v>0.59274613696322076</v>
      </c>
      <c r="O83">
        <f t="shared" si="22"/>
        <v>0.11131352589865906</v>
      </c>
      <c r="P83">
        <f t="shared" si="23"/>
        <v>0.74148542220831382</v>
      </c>
    </row>
    <row r="84" spans="1:16" x14ac:dyDescent="0.25">
      <c r="A84" t="s">
        <v>112</v>
      </c>
      <c r="B84">
        <v>0.30319988853798996</v>
      </c>
      <c r="C84">
        <v>0.50763739552619325</v>
      </c>
      <c r="D84">
        <v>9.1593734740637797E-2</v>
      </c>
      <c r="E84" s="57">
        <v>0.62462159434914233</v>
      </c>
      <c r="F84" t="s">
        <v>138</v>
      </c>
      <c r="H84" t="str">
        <f t="shared" si="16"/>
        <v/>
      </c>
      <c r="I84" t="str">
        <f t="shared" si="17"/>
        <v/>
      </c>
      <c r="J84" t="str">
        <f t="shared" si="18"/>
        <v/>
      </c>
      <c r="K84" t="str">
        <f t="shared" si="19"/>
        <v/>
      </c>
      <c r="M84">
        <f t="shared" si="20"/>
        <v>0.30319988853798996</v>
      </c>
      <c r="N84">
        <f t="shared" si="21"/>
        <v>0.50763739552619325</v>
      </c>
      <c r="O84">
        <f t="shared" si="22"/>
        <v>9.1593734740637797E-2</v>
      </c>
      <c r="P84">
        <f t="shared" si="23"/>
        <v>0.62462159434914233</v>
      </c>
    </row>
    <row r="85" spans="1:16" x14ac:dyDescent="0.25">
      <c r="A85" s="61" t="s">
        <v>149</v>
      </c>
      <c r="B85">
        <v>0.42587776332899868</v>
      </c>
      <c r="C85">
        <v>0.39659032966058483</v>
      </c>
      <c r="D85">
        <v>4.4454043496225067E-2</v>
      </c>
      <c r="E85" s="57">
        <v>0.4974228748145727</v>
      </c>
      <c r="F85" t="s">
        <v>138</v>
      </c>
      <c r="H85" t="str">
        <f t="shared" si="16"/>
        <v/>
      </c>
      <c r="I85" t="str">
        <f t="shared" si="17"/>
        <v/>
      </c>
      <c r="J85" t="str">
        <f t="shared" si="18"/>
        <v/>
      </c>
      <c r="K85" t="str">
        <f t="shared" si="19"/>
        <v/>
      </c>
      <c r="M85">
        <f t="shared" si="20"/>
        <v>0.42587776332899868</v>
      </c>
      <c r="N85">
        <f t="shared" si="21"/>
        <v>0.39659032966058483</v>
      </c>
      <c r="O85">
        <f t="shared" si="22"/>
        <v>4.4454043496225067E-2</v>
      </c>
      <c r="P85">
        <f t="shared" si="23"/>
        <v>0.4974228748145727</v>
      </c>
    </row>
    <row r="86" spans="1:16" x14ac:dyDescent="0.25">
      <c r="A86" t="s">
        <v>113</v>
      </c>
      <c r="B86">
        <v>0.20318595578673601</v>
      </c>
      <c r="C86">
        <v>0.53623647066270019</v>
      </c>
      <c r="D86">
        <v>0.10795177102505353</v>
      </c>
      <c r="E86" s="57">
        <v>0.71668341435593819</v>
      </c>
      <c r="F86" t="s">
        <v>138</v>
      </c>
      <c r="H86" t="str">
        <f t="shared" si="16"/>
        <v/>
      </c>
      <c r="I86" t="str">
        <f t="shared" si="17"/>
        <v/>
      </c>
      <c r="J86" t="str">
        <f t="shared" si="18"/>
        <v/>
      </c>
      <c r="K86" t="str">
        <f t="shared" si="19"/>
        <v/>
      </c>
      <c r="M86">
        <f t="shared" si="20"/>
        <v>0.20318595578673601</v>
      </c>
      <c r="N86">
        <f t="shared" si="21"/>
        <v>0.53623647066270019</v>
      </c>
      <c r="O86">
        <f t="shared" si="22"/>
        <v>0.10795177102505353</v>
      </c>
      <c r="P86">
        <f t="shared" si="23"/>
        <v>0.71668341435593819</v>
      </c>
    </row>
    <row r="87" spans="1:16" x14ac:dyDescent="0.25">
      <c r="A87" t="s">
        <v>114</v>
      </c>
      <c r="B87">
        <v>0.18686141556752739</v>
      </c>
      <c r="C87">
        <v>0.51807076397240337</v>
      </c>
      <c r="D87">
        <v>4.8135071179055702E-2</v>
      </c>
      <c r="E87" s="57">
        <v>0.73321872520497222</v>
      </c>
      <c r="F87" t="s">
        <v>138</v>
      </c>
      <c r="H87" t="str">
        <f t="shared" si="16"/>
        <v/>
      </c>
      <c r="I87" t="str">
        <f t="shared" si="17"/>
        <v/>
      </c>
      <c r="J87" t="str">
        <f t="shared" si="18"/>
        <v/>
      </c>
      <c r="K87" t="str">
        <f t="shared" si="19"/>
        <v/>
      </c>
      <c r="M87">
        <f t="shared" si="20"/>
        <v>0.18686141556752739</v>
      </c>
      <c r="N87">
        <f t="shared" si="21"/>
        <v>0.51807076397240337</v>
      </c>
      <c r="O87">
        <f t="shared" si="22"/>
        <v>4.8135071179055702E-2</v>
      </c>
      <c r="P87">
        <f t="shared" si="23"/>
        <v>0.73321872520497222</v>
      </c>
    </row>
    <row r="88" spans="1:16" x14ac:dyDescent="0.25">
      <c r="A88" t="s">
        <v>115</v>
      </c>
      <c r="B88">
        <v>0.10786271595764443</v>
      </c>
      <c r="C88">
        <v>0.66923093976544656</v>
      </c>
      <c r="D88">
        <v>0.14797355669909476</v>
      </c>
      <c r="E88" s="57">
        <v>0.81394569225611801</v>
      </c>
      <c r="H88">
        <f t="shared" si="16"/>
        <v>0.10786271595764443</v>
      </c>
      <c r="I88">
        <f t="shared" si="17"/>
        <v>0.66923093976544656</v>
      </c>
      <c r="J88">
        <f t="shared" si="18"/>
        <v>0.14797355669909476</v>
      </c>
      <c r="K88">
        <f t="shared" si="19"/>
        <v>0.81394569225611801</v>
      </c>
      <c r="M88" t="str">
        <f t="shared" si="20"/>
        <v/>
      </c>
      <c r="N88" t="str">
        <f t="shared" si="21"/>
        <v/>
      </c>
      <c r="O88" t="str">
        <f t="shared" si="22"/>
        <v/>
      </c>
      <c r="P88" t="str">
        <f t="shared" si="23"/>
        <v/>
      </c>
    </row>
    <row r="89" spans="1:16" x14ac:dyDescent="0.25">
      <c r="A89" t="s">
        <v>116</v>
      </c>
      <c r="B89">
        <v>0.10702675088240758</v>
      </c>
      <c r="C89">
        <v>0.5407808100738245</v>
      </c>
      <c r="D89">
        <v>2.8678210569808061E-2</v>
      </c>
      <c r="E89" s="57">
        <v>0.77793478260869564</v>
      </c>
      <c r="F89" t="s">
        <v>138</v>
      </c>
      <c r="H89" t="str">
        <f t="shared" si="16"/>
        <v/>
      </c>
      <c r="I89" t="str">
        <f t="shared" si="17"/>
        <v/>
      </c>
      <c r="J89" t="str">
        <f t="shared" si="18"/>
        <v/>
      </c>
      <c r="K89" t="str">
        <f t="shared" si="19"/>
        <v/>
      </c>
      <c r="M89">
        <f t="shared" si="20"/>
        <v>0.10702675088240758</v>
      </c>
      <c r="N89">
        <f t="shared" si="21"/>
        <v>0.5407808100738245</v>
      </c>
      <c r="O89">
        <f t="shared" si="22"/>
        <v>2.8678210569808061E-2</v>
      </c>
      <c r="P89">
        <f t="shared" si="23"/>
        <v>0.77793478260869564</v>
      </c>
    </row>
    <row r="90" spans="1:16" x14ac:dyDescent="0.25">
      <c r="A90" t="s">
        <v>117</v>
      </c>
      <c r="B90">
        <v>0.13770202489318223</v>
      </c>
      <c r="C90">
        <v>0.70131021792626425</v>
      </c>
      <c r="D90">
        <v>0.12615032115088456</v>
      </c>
      <c r="E90" s="57">
        <v>0.80546190972811715</v>
      </c>
      <c r="H90">
        <f t="shared" si="16"/>
        <v>0.13770202489318223</v>
      </c>
      <c r="I90">
        <f t="shared" si="17"/>
        <v>0.70131021792626425</v>
      </c>
      <c r="J90">
        <f t="shared" si="18"/>
        <v>0.12615032115088456</v>
      </c>
      <c r="K90">
        <f t="shared" si="19"/>
        <v>0.80546190972811715</v>
      </c>
      <c r="M90" t="str">
        <f t="shared" si="20"/>
        <v/>
      </c>
      <c r="N90" t="str">
        <f t="shared" si="21"/>
        <v/>
      </c>
      <c r="O90" t="str">
        <f t="shared" si="22"/>
        <v/>
      </c>
      <c r="P90" t="str">
        <f t="shared" si="23"/>
        <v/>
      </c>
    </row>
    <row r="91" spans="1:16" x14ac:dyDescent="0.25">
      <c r="A91" t="s">
        <v>118</v>
      </c>
      <c r="B91">
        <v>0.40114712985324169</v>
      </c>
      <c r="C91">
        <v>0.28514421264992129</v>
      </c>
      <c r="D91">
        <v>6.7929985351012287E-2</v>
      </c>
      <c r="E91" s="57">
        <v>0.43396121266161392</v>
      </c>
      <c r="F91" t="s">
        <v>138</v>
      </c>
      <c r="H91" t="str">
        <f t="shared" si="16"/>
        <v/>
      </c>
      <c r="I91" t="str">
        <f t="shared" si="17"/>
        <v/>
      </c>
      <c r="J91" t="str">
        <f t="shared" si="18"/>
        <v/>
      </c>
      <c r="K91" t="str">
        <f t="shared" si="19"/>
        <v/>
      </c>
      <c r="M91">
        <f t="shared" si="20"/>
        <v>0.40114712985324169</v>
      </c>
      <c r="N91">
        <f t="shared" si="21"/>
        <v>0.28514421264992129</v>
      </c>
      <c r="O91">
        <f t="shared" si="22"/>
        <v>6.7929985351012287E-2</v>
      </c>
      <c r="P91">
        <f t="shared" si="23"/>
        <v>0.43396121266161392</v>
      </c>
    </row>
    <row r="92" spans="1:16" x14ac:dyDescent="0.25">
      <c r="A92" t="s">
        <v>119</v>
      </c>
      <c r="B92">
        <v>0.12277075979936838</v>
      </c>
      <c r="C92">
        <v>0.67936240494823419</v>
      </c>
      <c r="D92">
        <v>0.13634827029260413</v>
      </c>
      <c r="E92" s="57">
        <v>0.80750249252243267</v>
      </c>
      <c r="H92">
        <f t="shared" si="16"/>
        <v>0.12277075979936838</v>
      </c>
      <c r="I92">
        <f t="shared" si="17"/>
        <v>0.67936240494823419</v>
      </c>
      <c r="J92">
        <f t="shared" si="18"/>
        <v>0.13634827029260413</v>
      </c>
      <c r="K92">
        <f t="shared" si="19"/>
        <v>0.80750249252243267</v>
      </c>
      <c r="M92" t="str">
        <f t="shared" si="20"/>
        <v/>
      </c>
      <c r="N92" t="str">
        <f t="shared" si="21"/>
        <v/>
      </c>
      <c r="O92" t="str">
        <f t="shared" si="22"/>
        <v/>
      </c>
      <c r="P92" t="str">
        <f t="shared" si="23"/>
        <v/>
      </c>
    </row>
    <row r="93" spans="1:16" x14ac:dyDescent="0.25">
      <c r="A93" s="61" t="s">
        <v>120</v>
      </c>
      <c r="B93">
        <v>0.26839123165521084</v>
      </c>
      <c r="C93">
        <v>0.50174030638260136</v>
      </c>
      <c r="D93">
        <v>4.5674792472674003E-2</v>
      </c>
      <c r="E93" s="57">
        <v>0.64708485163977092</v>
      </c>
      <c r="H93">
        <f t="shared" si="16"/>
        <v>0.26839123165521084</v>
      </c>
      <c r="I93">
        <f t="shared" si="17"/>
        <v>0.50174030638260136</v>
      </c>
      <c r="J93">
        <f t="shared" si="18"/>
        <v>4.5674792472674003E-2</v>
      </c>
      <c r="K93">
        <f t="shared" si="19"/>
        <v>0.64708485163977092</v>
      </c>
      <c r="M93" t="str">
        <f t="shared" si="20"/>
        <v/>
      </c>
      <c r="N93" t="str">
        <f t="shared" si="21"/>
        <v/>
      </c>
      <c r="O93" t="str">
        <f t="shared" si="22"/>
        <v/>
      </c>
      <c r="P93" t="str">
        <f t="shared" si="23"/>
        <v/>
      </c>
    </row>
    <row r="94" spans="1:16" x14ac:dyDescent="0.25">
      <c r="A94" t="s">
        <v>121</v>
      </c>
      <c r="B94">
        <v>0.37293330856399776</v>
      </c>
      <c r="C94">
        <v>0.20227459152681401</v>
      </c>
      <c r="D94">
        <v>8.1038951282725466E-2</v>
      </c>
      <c r="E94" s="57">
        <v>0.41102088514667545</v>
      </c>
      <c r="F94" t="s">
        <v>138</v>
      </c>
      <c r="H94" t="str">
        <f t="shared" si="16"/>
        <v/>
      </c>
      <c r="I94" t="str">
        <f t="shared" si="17"/>
        <v/>
      </c>
      <c r="J94" t="str">
        <f t="shared" si="18"/>
        <v/>
      </c>
      <c r="K94" t="str">
        <f t="shared" si="19"/>
        <v/>
      </c>
      <c r="M94">
        <f t="shared" si="20"/>
        <v>0.37293330856399776</v>
      </c>
      <c r="N94">
        <f t="shared" si="21"/>
        <v>0.20227459152681401</v>
      </c>
      <c r="O94">
        <f t="shared" si="22"/>
        <v>8.1038951282725466E-2</v>
      </c>
      <c r="P94">
        <f t="shared" si="23"/>
        <v>0.41102088514667545</v>
      </c>
    </row>
    <row r="95" spans="1:16" x14ac:dyDescent="0.25">
      <c r="A95" t="s">
        <v>122</v>
      </c>
      <c r="B95">
        <v>0.41886494519784506</v>
      </c>
      <c r="C95">
        <v>0.4579111889507172</v>
      </c>
      <c r="D95">
        <v>9.1913007549862896E-2</v>
      </c>
      <c r="E95" s="57">
        <v>0.52599661754046867</v>
      </c>
      <c r="F95" t="s">
        <v>138</v>
      </c>
      <c r="H95" t="str">
        <f t="shared" si="16"/>
        <v/>
      </c>
      <c r="I95" t="str">
        <f t="shared" si="17"/>
        <v/>
      </c>
      <c r="J95" t="str">
        <f t="shared" si="18"/>
        <v/>
      </c>
      <c r="K95" t="str">
        <f t="shared" si="19"/>
        <v/>
      </c>
      <c r="M95">
        <f t="shared" si="20"/>
        <v>0.41886494519784506</v>
      </c>
      <c r="N95">
        <f t="shared" si="21"/>
        <v>0.4579111889507172</v>
      </c>
      <c r="O95">
        <f t="shared" si="22"/>
        <v>9.1913007549862896E-2</v>
      </c>
      <c r="P95">
        <f t="shared" si="23"/>
        <v>0.52599661754046867</v>
      </c>
    </row>
    <row r="97" spans="1:22" x14ac:dyDescent="0.25">
      <c r="E97" t="s">
        <v>148</v>
      </c>
      <c r="F97">
        <f>COUNTIF(F3:F95,"NOTSYD")</f>
        <v>39</v>
      </c>
      <c r="H97" s="57">
        <f>AVERAGE(H3:H95)</f>
        <v>0.27999024707412229</v>
      </c>
      <c r="I97" s="57">
        <f>AVERAGE(I3:I95)</f>
        <v>0.49874239295325612</v>
      </c>
      <c r="J97" s="57">
        <f>AVERAGE(J3:J95)</f>
        <v>9.4134353336922563E-2</v>
      </c>
      <c r="K97" s="57">
        <f>AVERAGE(K3:K95)</f>
        <v>0.62466414409375004</v>
      </c>
      <c r="M97" s="57">
        <f>AVERAGE(M3:M95)</f>
        <v>0.24426792323411306</v>
      </c>
      <c r="N97" s="57">
        <f>AVERAGE(N3:N95)</f>
        <v>0.50266871926517631</v>
      </c>
      <c r="O97" s="57">
        <f>AVERAGE(O3:O95)</f>
        <v>7.5354643228286333E-2</v>
      </c>
      <c r="P97" s="57">
        <f>AVERAGE(P3:P95)</f>
        <v>0.66158892709425199</v>
      </c>
      <c r="T97" s="71">
        <f>H97-M97</f>
        <v>3.5722323840009229E-2</v>
      </c>
      <c r="U97" s="71">
        <f>I97-N97</f>
        <v>-3.9263263119201919E-3</v>
      </c>
      <c r="V97" s="71">
        <f>J97-O97</f>
        <v>1.877971010863623E-2</v>
      </c>
    </row>
    <row r="98" spans="1:22" x14ac:dyDescent="0.25">
      <c r="E98" t="s">
        <v>146</v>
      </c>
      <c r="F98">
        <f>93-F97</f>
        <v>54</v>
      </c>
      <c r="H98" s="57"/>
      <c r="I98" s="57"/>
      <c r="J98" s="57"/>
      <c r="K98" s="57"/>
      <c r="M98" s="57"/>
      <c r="N98" s="57"/>
      <c r="O98" s="57"/>
      <c r="P98" s="57"/>
    </row>
    <row r="99" spans="1:22" x14ac:dyDescent="0.25">
      <c r="H99" s="57"/>
      <c r="I99" s="57"/>
      <c r="J99" s="57"/>
      <c r="K99" s="57"/>
      <c r="M99" s="57"/>
      <c r="N99" s="57"/>
      <c r="O99" s="57"/>
      <c r="P99" s="57"/>
    </row>
    <row r="100" spans="1:22" x14ac:dyDescent="0.25">
      <c r="A100" t="s">
        <v>147</v>
      </c>
      <c r="H100" s="60">
        <v>0.37</v>
      </c>
      <c r="I100" s="60">
        <v>0.44</v>
      </c>
      <c r="J100" s="60">
        <v>0.12</v>
      </c>
      <c r="K100" s="60">
        <v>0.52</v>
      </c>
      <c r="M100" s="60">
        <v>0.34</v>
      </c>
      <c r="N100" s="60">
        <v>0.44</v>
      </c>
      <c r="O100" s="60">
        <v>0.11</v>
      </c>
      <c r="P100" s="60">
        <v>0.51</v>
      </c>
      <c r="T100" s="60">
        <f>H100-M100</f>
        <v>2.9999999999999971E-2</v>
      </c>
      <c r="U100" s="60">
        <f>I100-N100</f>
        <v>0</v>
      </c>
      <c r="V100" s="60">
        <f>J100-O100</f>
        <v>9.999999999999995E-3</v>
      </c>
    </row>
    <row r="102" spans="1:22" x14ac:dyDescent="0.25">
      <c r="A102" t="s">
        <v>176</v>
      </c>
      <c r="B102">
        <f>database!C43</f>
        <v>1000</v>
      </c>
      <c r="H102" s="60">
        <v>0.34</v>
      </c>
      <c r="I102" s="60">
        <v>0.48</v>
      </c>
      <c r="J102" s="60">
        <v>0.11</v>
      </c>
      <c r="K102" s="60">
        <v>0.55000000000000004</v>
      </c>
      <c r="M102" s="60">
        <v>0.34</v>
      </c>
      <c r="N102" s="60">
        <v>0.41</v>
      </c>
      <c r="O102" s="60">
        <v>0.14000000000000001</v>
      </c>
      <c r="P102" s="60">
        <v>0.49</v>
      </c>
      <c r="T102" s="60">
        <f>H102-M102</f>
        <v>0</v>
      </c>
      <c r="U102" s="60">
        <f>I102-N102</f>
        <v>7.0000000000000007E-2</v>
      </c>
      <c r="V102" s="60">
        <f>J102-O102</f>
        <v>-3.0000000000000013E-2</v>
      </c>
    </row>
    <row r="103" spans="1:22" x14ac:dyDescent="0.25">
      <c r="H103" s="60"/>
      <c r="I103" s="60"/>
      <c r="J103" s="60"/>
      <c r="K103" s="60"/>
      <c r="M103" s="60"/>
      <c r="N103" s="60"/>
      <c r="O103" s="60"/>
      <c r="P103" s="60"/>
    </row>
    <row r="104" spans="1:22" x14ac:dyDescent="0.25">
      <c r="A104" t="s">
        <v>177</v>
      </c>
      <c r="B104">
        <f>database!C52</f>
        <v>1565</v>
      </c>
      <c r="H104" s="60">
        <v>0.35</v>
      </c>
      <c r="I104" s="60">
        <v>0.49</v>
      </c>
      <c r="J104" s="60">
        <v>0.09</v>
      </c>
      <c r="K104" s="60">
        <f>(I104+(J104*0.1)+((1-SUM(H104:I104))*0.25))/(1-((1-(H104+I104))*0.5))</f>
        <v>0.58586956521739142</v>
      </c>
      <c r="M104" s="60">
        <v>0.33</v>
      </c>
      <c r="N104" s="60">
        <v>0.42</v>
      </c>
      <c r="O104" s="60">
        <v>0.11</v>
      </c>
      <c r="P104" s="60">
        <f>(N104+(O104*0.1)+((1-SUM(M104:N104))*0.25))/(1-((1-(M104+N104))*0.5))</f>
        <v>0.56399999999999995</v>
      </c>
      <c r="T104" s="60">
        <f>H104-M104</f>
        <v>1.9999999999999962E-2</v>
      </c>
      <c r="U104" s="60">
        <f>I104-N104</f>
        <v>7.0000000000000007E-2</v>
      </c>
      <c r="V104" s="60">
        <f>J104-O104</f>
        <v>-2.0000000000000004E-2</v>
      </c>
    </row>
    <row r="105" spans="1:22" x14ac:dyDescent="0.25">
      <c r="H105" s="60"/>
      <c r="I105" s="60"/>
      <c r="J105" s="60"/>
      <c r="K105" s="60"/>
      <c r="M105" s="60"/>
      <c r="N105" s="60"/>
      <c r="O105" s="60"/>
      <c r="P105" s="60"/>
    </row>
    <row r="106" spans="1:22" x14ac:dyDescent="0.25">
      <c r="A106" t="s">
        <v>185</v>
      </c>
      <c r="B106">
        <f>database!C54</f>
        <v>1223</v>
      </c>
      <c r="H106" s="60">
        <v>0.32</v>
      </c>
      <c r="I106" s="60">
        <v>0.48</v>
      </c>
      <c r="J106" s="60">
        <v>0.13</v>
      </c>
      <c r="K106" s="60">
        <f>(I106+(J106*0.1)+((1-SUM(H106:I106))*0.25))/(1-((1-(H106+I106))*0.5))</f>
        <v>0.60333333333333328</v>
      </c>
      <c r="M106" s="60">
        <v>0.31</v>
      </c>
      <c r="N106" s="60">
        <v>0.45</v>
      </c>
      <c r="O106" s="60">
        <v>0.13</v>
      </c>
      <c r="P106" s="60">
        <f>(N106+(O106*0.1)+((1-SUM(M106:N106))*0.25))/(1-((1-(M106+N106))*0.5))</f>
        <v>0.59431818181818186</v>
      </c>
      <c r="T106" s="60">
        <f>H106-M106</f>
        <v>1.0000000000000009E-2</v>
      </c>
      <c r="U106" s="60">
        <f>I106-N106</f>
        <v>2.9999999999999971E-2</v>
      </c>
      <c r="V106" s="60">
        <f>J106-O106</f>
        <v>0</v>
      </c>
    </row>
    <row r="107" spans="1:22" x14ac:dyDescent="0.25">
      <c r="H107" s="60"/>
      <c r="I107" s="60"/>
      <c r="J107" s="60"/>
      <c r="K107" s="60"/>
      <c r="M107" s="60"/>
      <c r="N107" s="60"/>
      <c r="O107" s="60"/>
      <c r="P107" s="60"/>
      <c r="T107" s="60"/>
      <c r="U107" s="60"/>
      <c r="V107" s="60"/>
    </row>
    <row r="108" spans="1:22" x14ac:dyDescent="0.25">
      <c r="A108" t="s">
        <v>192</v>
      </c>
      <c r="B108">
        <f>database!C55</f>
        <v>3251</v>
      </c>
      <c r="H108" s="60">
        <v>0.3</v>
      </c>
      <c r="I108" s="60">
        <v>0.5</v>
      </c>
      <c r="J108" s="60">
        <v>0.11</v>
      </c>
      <c r="K108" s="60">
        <f>(I108+(J108*0.1)+((1-SUM(H108:I108))*0.25))/(1-((1-(H108+I108))*0.5))</f>
        <v>0.62333333333333329</v>
      </c>
      <c r="M108" s="60">
        <v>0.32</v>
      </c>
      <c r="N108" s="60">
        <v>0.44</v>
      </c>
      <c r="O108" s="60">
        <v>0.11</v>
      </c>
      <c r="P108" s="60">
        <f>(N108+(O108*0.1)+((1-SUM(M108:N108))*0.25))/(1-((1-(M108+N108))*0.5))</f>
        <v>0.58068181818181819</v>
      </c>
      <c r="T108" s="60">
        <f>H108-M108</f>
        <v>-2.0000000000000018E-2</v>
      </c>
      <c r="U108" s="60">
        <f>I108-N108</f>
        <v>0.06</v>
      </c>
      <c r="V108" s="60">
        <f>J108-O108</f>
        <v>0</v>
      </c>
    </row>
    <row r="109" spans="1:22" x14ac:dyDescent="0.25">
      <c r="H109" s="60"/>
      <c r="I109" s="60"/>
      <c r="J109" s="60"/>
      <c r="K109" s="60"/>
      <c r="M109" s="60"/>
      <c r="N109" s="60"/>
      <c r="O109" s="60"/>
      <c r="P109" s="60"/>
      <c r="T109" s="60"/>
      <c r="U109" s="60"/>
      <c r="V109" s="60"/>
    </row>
    <row r="110" spans="1:22" x14ac:dyDescent="0.25">
      <c r="A110" t="s">
        <v>195</v>
      </c>
      <c r="B110">
        <f>database!C58</f>
        <v>1596</v>
      </c>
      <c r="H110" s="60">
        <v>0.34</v>
      </c>
      <c r="I110" s="60">
        <v>0.48</v>
      </c>
      <c r="J110" s="60">
        <v>0.11</v>
      </c>
      <c r="K110" s="60">
        <f>(I110+(J110*0.1)+((1-SUM(H110:I110))*0.25))/(1-((1-(H110+I110))*0.5))</f>
        <v>0.58901098901098903</v>
      </c>
      <c r="M110" s="60">
        <v>0.35</v>
      </c>
      <c r="N110" s="60">
        <v>0.38</v>
      </c>
      <c r="O110" s="60">
        <v>0.11</v>
      </c>
      <c r="P110" s="60">
        <f>(N110+(O110*0.1)+((1-SUM(M110:N110))*0.25))/(1-((1-(M110+N110))*0.5))</f>
        <v>0.53005780346820808</v>
      </c>
      <c r="T110" s="60">
        <f>H110-M110</f>
        <v>-9.9999999999999534E-3</v>
      </c>
      <c r="U110" s="60">
        <f>I110-N110</f>
        <v>9.9999999999999978E-2</v>
      </c>
      <c r="V110" s="60">
        <f>J110-O110</f>
        <v>0</v>
      </c>
    </row>
    <row r="112" spans="1:22" x14ac:dyDescent="0.25">
      <c r="A112" t="s">
        <v>145</v>
      </c>
      <c r="K112" s="60">
        <f>AVERAGE(K102:K108)</f>
        <v>0.59063405797101454</v>
      </c>
      <c r="P112" s="60">
        <f>AVERAGE(P102:P108)</f>
        <v>0.55724999999999991</v>
      </c>
      <c r="T112" s="70">
        <f>SUMPRODUCT($B102:$B110,T102:T110)/SUM($B102:$B110)</f>
        <v>-4.3370005790387993E-3</v>
      </c>
      <c r="U112" s="70">
        <f>SUMPRODUCT($B102:$B110,U102:U110)/SUM($B102:$B110)</f>
        <v>6.6114649681528651E-2</v>
      </c>
      <c r="V112" s="70">
        <f>SUMPRODUCT($B102:$B110,V102:V110)/SUM($B102:$B110)</f>
        <v>-7.099015634047484E-3</v>
      </c>
    </row>
    <row r="114" spans="1:22" x14ac:dyDescent="0.25">
      <c r="K114" s="57">
        <f>K97-K112</f>
        <v>3.4030086122735503E-2</v>
      </c>
      <c r="P114" s="57">
        <f>P97-P112</f>
        <v>0.10433892709425208</v>
      </c>
      <c r="T114" s="70"/>
      <c r="U114" s="70"/>
      <c r="V114" s="70"/>
    </row>
    <row r="115" spans="1:22" x14ac:dyDescent="0.25">
      <c r="T115" s="57"/>
      <c r="U115" s="57"/>
      <c r="V115" s="57"/>
    </row>
    <row r="116" spans="1:22" x14ac:dyDescent="0.25">
      <c r="T116" s="57"/>
      <c r="U116" s="57"/>
      <c r="V116" s="57"/>
    </row>
    <row r="117" spans="1:22" x14ac:dyDescent="0.25">
      <c r="T117" s="57"/>
      <c r="U117" s="57"/>
      <c r="V117" s="57"/>
    </row>
    <row r="119" spans="1:22" x14ac:dyDescent="0.25">
      <c r="A119" t="s">
        <v>175</v>
      </c>
      <c r="H119" s="60">
        <f>0.23/0.88</f>
        <v>0.26136363636363635</v>
      </c>
      <c r="I119" s="60">
        <f>0.46/0.88</f>
        <v>0.52272727272727271</v>
      </c>
      <c r="J119" s="60">
        <f>0.08/0.88</f>
        <v>9.0909090909090912E-2</v>
      </c>
      <c r="K119" s="60">
        <f>(I119+(J119*0.1)+((1-SUM(H119:I119))*0.25))/(1-((1-(H119+I119))*0.5))</f>
        <v>0.65668789808917183</v>
      </c>
      <c r="M119" s="60">
        <f>0.21/0.9</f>
        <v>0.23333333333333331</v>
      </c>
      <c r="N119" s="60">
        <f>0.44/0.9</f>
        <v>0.48888888888888887</v>
      </c>
      <c r="O119" s="60">
        <f>0.11/0.9</f>
        <v>0.12222222222222222</v>
      </c>
      <c r="P119" s="60">
        <f>(N119+(O119*0.1)+((1-SUM(M119:N119))*0.25))/(1-((1-(M119+N119))*0.5))</f>
        <v>0.66258064516129023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3" sqref="B13"/>
    </sheetView>
  </sheetViews>
  <sheetFormatPr defaultRowHeight="15" x14ac:dyDescent="0.25"/>
  <sheetData>
    <row r="1" spans="1:3" x14ac:dyDescent="0.25">
      <c r="B1" t="s">
        <v>5</v>
      </c>
      <c r="C1" t="s">
        <v>13</v>
      </c>
    </row>
    <row r="2" spans="1:3" x14ac:dyDescent="0.25">
      <c r="A2" t="s">
        <v>3</v>
      </c>
      <c r="B2">
        <v>0.151</v>
      </c>
      <c r="C2">
        <v>0.20550000000000002</v>
      </c>
    </row>
    <row r="3" spans="1:3" x14ac:dyDescent="0.25">
      <c r="A3" t="s">
        <v>4</v>
      </c>
      <c r="B3">
        <v>0.53</v>
      </c>
      <c r="C3">
        <v>0.20350000000000001</v>
      </c>
    </row>
    <row r="4" spans="1:3" x14ac:dyDescent="0.25">
      <c r="A4" t="s">
        <v>182</v>
      </c>
      <c r="B4">
        <v>0.31900000000000001</v>
      </c>
      <c r="C4">
        <v>0.59099999999999997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database</vt:lpstr>
      <vt:lpstr>output</vt:lpstr>
      <vt:lpstr>bias</vt:lpstr>
      <vt:lpstr>seats</vt:lpstr>
      <vt:lpstr>regcalc</vt:lpstr>
      <vt:lpstr>prefs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WBPC</dc:creator>
  <cp:lastModifiedBy>WBPC</cp:lastModifiedBy>
  <dcterms:created xsi:type="dcterms:W3CDTF">2014-05-30T13:49:58Z</dcterms:created>
  <dcterms:modified xsi:type="dcterms:W3CDTF">2015-03-29T06:15:40Z</dcterms:modified>
</cp:coreProperties>
</file>