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PC\Dropbox\"/>
    </mc:Choice>
  </mc:AlternateContent>
  <bookViews>
    <workbookView xWindow="0" yWindow="0" windowWidth="28800" windowHeight="12435" activeTab="1"/>
  </bookViews>
  <sheets>
    <sheet name="Input" sheetId="1" r:id="rId1"/>
    <sheet name="Output" sheetId="3" r:id="rId2"/>
    <sheet name="Sea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56" i="1" l="1"/>
  <c r="CB56" i="1"/>
  <c r="CA56" i="1"/>
  <c r="CC55" i="1"/>
  <c r="CB55" i="1"/>
  <c r="CA55" i="1"/>
  <c r="CC54" i="1"/>
  <c r="CB54" i="1"/>
  <c r="CA54" i="1"/>
  <c r="BV56" i="1"/>
  <c r="BY56" i="1" s="1"/>
  <c r="BU56" i="1"/>
  <c r="BX56" i="1" s="1"/>
  <c r="BV55" i="1"/>
  <c r="BY55" i="1" s="1"/>
  <c r="BU55" i="1"/>
  <c r="BX55" i="1" s="1"/>
  <c r="BV54" i="1"/>
  <c r="BY54" i="1" s="1"/>
  <c r="BU54" i="1"/>
  <c r="BX54" i="1" s="1"/>
  <c r="BS60" i="1"/>
  <c r="BR60" i="1"/>
  <c r="BQ60" i="1"/>
  <c r="BP60" i="1"/>
  <c r="BO60" i="1"/>
  <c r="BL56" i="1"/>
  <c r="BK56" i="1"/>
  <c r="BJ56" i="1"/>
  <c r="BL55" i="1"/>
  <c r="BK55" i="1"/>
  <c r="BJ55" i="1"/>
  <c r="BL54" i="1"/>
  <c r="BK54" i="1"/>
  <c r="BJ54" i="1"/>
  <c r="BH56" i="1"/>
  <c r="BG56" i="1"/>
  <c r="BF56" i="1"/>
  <c r="BE56" i="1"/>
  <c r="BD56" i="1"/>
  <c r="BC56" i="1"/>
  <c r="BH55" i="1"/>
  <c r="BG55" i="1"/>
  <c r="BF55" i="1"/>
  <c r="BE55" i="1"/>
  <c r="BD55" i="1"/>
  <c r="BC55" i="1"/>
  <c r="BH54" i="1"/>
  <c r="BG54" i="1"/>
  <c r="BF54" i="1"/>
  <c r="BE54" i="1"/>
  <c r="BD54" i="1"/>
  <c r="BC54" i="1"/>
  <c r="BH53" i="1"/>
  <c r="BG53" i="1"/>
  <c r="BF53" i="1"/>
  <c r="BE53" i="1"/>
  <c r="BD53" i="1"/>
  <c r="BC53" i="1"/>
  <c r="BH52" i="1"/>
  <c r="BG52" i="1"/>
  <c r="BF52" i="1"/>
  <c r="BE52" i="1"/>
  <c r="BD52" i="1"/>
  <c r="BC52" i="1"/>
  <c r="BH51" i="1"/>
  <c r="BG51" i="1"/>
  <c r="BF51" i="1"/>
  <c r="BE51" i="1"/>
  <c r="BD51" i="1"/>
  <c r="BC51" i="1"/>
  <c r="BH50" i="1"/>
  <c r="BG50" i="1"/>
  <c r="BF50" i="1"/>
  <c r="BE50" i="1"/>
  <c r="BD50" i="1"/>
  <c r="BC50" i="1"/>
  <c r="BH49" i="1"/>
  <c r="BG49" i="1"/>
  <c r="BF49" i="1"/>
  <c r="BE49" i="1"/>
  <c r="BD49" i="1"/>
  <c r="BC49" i="1"/>
  <c r="AZ58" i="1"/>
  <c r="AY58" i="1"/>
  <c r="AX58" i="1"/>
  <c r="AV58" i="1"/>
  <c r="AU58" i="1"/>
  <c r="AT58" i="1"/>
  <c r="AR58" i="1"/>
  <c r="AQ58" i="1"/>
  <c r="AP58" i="1"/>
  <c r="AN58" i="1"/>
  <c r="AM58" i="1"/>
  <c r="AL58" i="1"/>
  <c r="AZ56" i="1"/>
  <c r="AY56" i="1"/>
  <c r="AX56" i="1"/>
  <c r="AV56" i="1"/>
  <c r="AU56" i="1"/>
  <c r="AT56" i="1"/>
  <c r="AR56" i="1"/>
  <c r="AQ56" i="1"/>
  <c r="AP56" i="1"/>
  <c r="AN56" i="1"/>
  <c r="AM56" i="1"/>
  <c r="AL56" i="1"/>
  <c r="AZ55" i="1"/>
  <c r="AY55" i="1"/>
  <c r="AX55" i="1"/>
  <c r="AV55" i="1"/>
  <c r="AU55" i="1"/>
  <c r="AT55" i="1"/>
  <c r="AR55" i="1"/>
  <c r="AQ55" i="1"/>
  <c r="AP55" i="1"/>
  <c r="AN55" i="1"/>
  <c r="AM55" i="1"/>
  <c r="AL55" i="1"/>
  <c r="AZ54" i="1"/>
  <c r="AY54" i="1"/>
  <c r="AX54" i="1"/>
  <c r="AV54" i="1"/>
  <c r="AU54" i="1"/>
  <c r="AT54" i="1"/>
  <c r="AR54" i="1"/>
  <c r="AQ54" i="1"/>
  <c r="AP54" i="1"/>
  <c r="AN54" i="1"/>
  <c r="AM54" i="1"/>
  <c r="AL54" i="1"/>
  <c r="AZ53" i="1"/>
  <c r="AY53" i="1"/>
  <c r="AX53" i="1"/>
  <c r="AV53" i="1"/>
  <c r="AU53" i="1"/>
  <c r="AT53" i="1"/>
  <c r="AR53" i="1"/>
  <c r="AQ53" i="1"/>
  <c r="AP53" i="1"/>
  <c r="AN53" i="1"/>
  <c r="AM53" i="1"/>
  <c r="AL53" i="1"/>
  <c r="AZ52" i="1"/>
  <c r="AY52" i="1"/>
  <c r="AX52" i="1"/>
  <c r="AV52" i="1"/>
  <c r="AU52" i="1"/>
  <c r="AT52" i="1"/>
  <c r="AR52" i="1"/>
  <c r="AQ52" i="1"/>
  <c r="AP52" i="1"/>
  <c r="AN52" i="1"/>
  <c r="AM52" i="1"/>
  <c r="AL52" i="1"/>
  <c r="AZ51" i="1"/>
  <c r="AY51" i="1"/>
  <c r="AX51" i="1"/>
  <c r="AV51" i="1"/>
  <c r="AU51" i="1"/>
  <c r="AT51" i="1"/>
  <c r="AR51" i="1"/>
  <c r="AQ51" i="1"/>
  <c r="AP51" i="1"/>
  <c r="AN51" i="1"/>
  <c r="AM51" i="1"/>
  <c r="AL51" i="1"/>
  <c r="AZ50" i="1"/>
  <c r="AY50" i="1"/>
  <c r="AX50" i="1"/>
  <c r="AV50" i="1"/>
  <c r="AU50" i="1"/>
  <c r="AT50" i="1"/>
  <c r="AR50" i="1"/>
  <c r="AQ50" i="1"/>
  <c r="AP50" i="1"/>
  <c r="AN50" i="1"/>
  <c r="AM50" i="1"/>
  <c r="AL50" i="1"/>
  <c r="AZ49" i="1"/>
  <c r="AY49" i="1"/>
  <c r="AX49" i="1"/>
  <c r="AV49" i="1"/>
  <c r="AU49" i="1"/>
  <c r="AT49" i="1"/>
  <c r="AR49" i="1"/>
  <c r="AQ49" i="1"/>
  <c r="AP49" i="1"/>
  <c r="AN49" i="1"/>
  <c r="AM49" i="1"/>
  <c r="AL49" i="1"/>
  <c r="AZ48" i="1"/>
  <c r="AY48" i="1"/>
  <c r="AX48" i="1"/>
  <c r="AV48" i="1"/>
  <c r="AU48" i="1"/>
  <c r="AT48" i="1"/>
  <c r="AR48" i="1"/>
  <c r="AQ48" i="1"/>
  <c r="AP48" i="1"/>
  <c r="AN48" i="1"/>
  <c r="AM48" i="1"/>
  <c r="AL48" i="1"/>
  <c r="AZ47" i="1"/>
  <c r="AY47" i="1"/>
  <c r="AX47" i="1"/>
  <c r="AV47" i="1"/>
  <c r="AU47" i="1"/>
  <c r="AT47" i="1"/>
  <c r="AR47" i="1"/>
  <c r="AQ47" i="1"/>
  <c r="AP47" i="1"/>
  <c r="AN47" i="1"/>
  <c r="AM47" i="1"/>
  <c r="AL47" i="1"/>
  <c r="AJ56" i="1"/>
  <c r="AI56" i="1"/>
  <c r="AJ55" i="1"/>
  <c r="AI55" i="1"/>
  <c r="AJ54" i="1"/>
  <c r="AI54" i="1"/>
  <c r="AJ53" i="1"/>
  <c r="AI53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J22" i="1"/>
  <c r="AI22" i="1"/>
  <c r="W53" i="1"/>
  <c r="W55" i="1"/>
  <c r="W54" i="1"/>
  <c r="Q55" i="1"/>
  <c r="Q56" i="1"/>
  <c r="Q54" i="1"/>
  <c r="AD56" i="1"/>
  <c r="AC56" i="1"/>
  <c r="AB56" i="1"/>
  <c r="AA56" i="1"/>
  <c r="Z56" i="1"/>
  <c r="Y56" i="1"/>
  <c r="AC55" i="1"/>
  <c r="AB55" i="1"/>
  <c r="AA55" i="1"/>
  <c r="Z55" i="1"/>
  <c r="Y55" i="1"/>
  <c r="U56" i="1"/>
  <c r="T56" i="1"/>
  <c r="S56" i="1"/>
  <c r="U55" i="1"/>
  <c r="T55" i="1"/>
  <c r="S55" i="1"/>
  <c r="U54" i="1"/>
  <c r="T54" i="1"/>
  <c r="S54" i="1"/>
  <c r="U53" i="1"/>
  <c r="T53" i="1"/>
  <c r="S53" i="1"/>
  <c r="O56" i="1"/>
  <c r="N56" i="1"/>
  <c r="M56" i="1"/>
  <c r="O55" i="1"/>
  <c r="N55" i="1"/>
  <c r="M55" i="1"/>
  <c r="O54" i="1"/>
  <c r="N54" i="1"/>
  <c r="M54" i="1"/>
  <c r="AD55" i="1"/>
  <c r="AD54" i="1"/>
  <c r="AC54" i="1"/>
  <c r="AB54" i="1"/>
  <c r="AA54" i="1"/>
  <c r="Z54" i="1"/>
  <c r="Y54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Y53" i="1" l="1"/>
  <c r="BV53" i="1"/>
  <c r="BU53" i="1"/>
  <c r="BX53" i="1" s="1"/>
  <c r="CB53" i="1" s="1"/>
  <c r="BL53" i="1"/>
  <c r="BK53" i="1"/>
  <c r="Z53" i="1"/>
  <c r="Q53" i="1"/>
  <c r="O53" i="1"/>
  <c r="N53" i="1"/>
  <c r="M53" i="1"/>
  <c r="O52" i="1"/>
  <c r="N52" i="1"/>
  <c r="M52" i="1"/>
  <c r="AD53" i="1"/>
  <c r="AC53" i="1"/>
  <c r="AB53" i="1"/>
  <c r="AA53" i="1"/>
  <c r="Y53" i="1"/>
  <c r="BJ53" i="1"/>
  <c r="CA53" i="1"/>
  <c r="CC53" i="1" l="1"/>
  <c r="C6" i="3"/>
  <c r="D6" i="3" s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BX35" i="1"/>
  <c r="BX23" i="1"/>
  <c r="BU52" i="1"/>
  <c r="BX52" i="1" s="1"/>
  <c r="BU51" i="1"/>
  <c r="BX51" i="1" s="1"/>
  <c r="BU50" i="1"/>
  <c r="BX50" i="1"/>
  <c r="BU49" i="1"/>
  <c r="BX49" i="1"/>
  <c r="BU48" i="1"/>
  <c r="BX48" i="1" s="1"/>
  <c r="BU47" i="1"/>
  <c r="BX47" i="1" s="1"/>
  <c r="BU46" i="1"/>
  <c r="BX46" i="1" s="1"/>
  <c r="BU45" i="1"/>
  <c r="BX45" i="1" s="1"/>
  <c r="CB45" i="1" s="1"/>
  <c r="BU44" i="1"/>
  <c r="BX44" i="1" s="1"/>
  <c r="BU43" i="1"/>
  <c r="BX43" i="1" s="1"/>
  <c r="BU42" i="1"/>
  <c r="BX42" i="1" s="1"/>
  <c r="CB42" i="1" s="1"/>
  <c r="BU41" i="1"/>
  <c r="BX41" i="1" s="1"/>
  <c r="BU40" i="1"/>
  <c r="BX40" i="1"/>
  <c r="BU39" i="1"/>
  <c r="BX39" i="1" s="1"/>
  <c r="BU38" i="1"/>
  <c r="BX38" i="1"/>
  <c r="BU37" i="1"/>
  <c r="BX37" i="1" s="1"/>
  <c r="BU36" i="1"/>
  <c r="BX36" i="1" s="1"/>
  <c r="BU35" i="1"/>
  <c r="BU34" i="1"/>
  <c r="BX34" i="1"/>
  <c r="BU33" i="1"/>
  <c r="BX33" i="1"/>
  <c r="BU32" i="1"/>
  <c r="BX32" i="1" s="1"/>
  <c r="BU31" i="1"/>
  <c r="BX31" i="1" s="1"/>
  <c r="BU30" i="1"/>
  <c r="BX30" i="1" s="1"/>
  <c r="BU29" i="1"/>
  <c r="BX29" i="1"/>
  <c r="BU28" i="1"/>
  <c r="BX28" i="1" s="1"/>
  <c r="BU27" i="1"/>
  <c r="BX27" i="1" s="1"/>
  <c r="BU26" i="1"/>
  <c r="BX26" i="1" s="1"/>
  <c r="BU25" i="1"/>
  <c r="BX25" i="1" s="1"/>
  <c r="BU24" i="1"/>
  <c r="BX24" i="1" s="1"/>
  <c r="BU23" i="1"/>
  <c r="BU22" i="1"/>
  <c r="BX22" i="1"/>
  <c r="BU21" i="1"/>
  <c r="BX21" i="1" s="1"/>
  <c r="BU20" i="1"/>
  <c r="BX20" i="1"/>
  <c r="CB20" i="1" s="1"/>
  <c r="BU19" i="1"/>
  <c r="BX19" i="1" s="1"/>
  <c r="CB19" i="1" s="1"/>
  <c r="BU18" i="1"/>
  <c r="BX18" i="1"/>
  <c r="BU17" i="1"/>
  <c r="BX17" i="1"/>
  <c r="CB17" i="1" s="1"/>
  <c r="BU16" i="1"/>
  <c r="BX16" i="1" s="1"/>
  <c r="BU15" i="1"/>
  <c r="BX15" i="1" s="1"/>
  <c r="BU14" i="1"/>
  <c r="BX14" i="1" s="1"/>
  <c r="BU13" i="1"/>
  <c r="BX13" i="1" s="1"/>
  <c r="BU12" i="1"/>
  <c r="BX12" i="1" s="1"/>
  <c r="BU11" i="1"/>
  <c r="BX11" i="1" s="1"/>
  <c r="BU10" i="1"/>
  <c r="BX10" i="1" s="1"/>
  <c r="BU9" i="1"/>
  <c r="BX9" i="1" s="1"/>
  <c r="BU8" i="1"/>
  <c r="BX8" i="1"/>
  <c r="BU7" i="1"/>
  <c r="BX7" i="1" s="1"/>
  <c r="BU6" i="1"/>
  <c r="BX6" i="1"/>
  <c r="CB6" i="1"/>
  <c r="BU5" i="1"/>
  <c r="BX5" i="1" s="1"/>
  <c r="BU4" i="1"/>
  <c r="BX4" i="1"/>
  <c r="BV52" i="1"/>
  <c r="BY52" i="1"/>
  <c r="BV51" i="1"/>
  <c r="BY51" i="1" s="1"/>
  <c r="BV50" i="1"/>
  <c r="BY50" i="1"/>
  <c r="CC50" i="1" s="1"/>
  <c r="BV49" i="1"/>
  <c r="BY49" i="1" s="1"/>
  <c r="BV48" i="1"/>
  <c r="BY48" i="1" s="1"/>
  <c r="CC48" i="1" s="1"/>
  <c r="BV47" i="1"/>
  <c r="BY47" i="1"/>
  <c r="BV46" i="1"/>
  <c r="BY46" i="1" s="1"/>
  <c r="CC46" i="1" s="1"/>
  <c r="BV45" i="1"/>
  <c r="BY45" i="1"/>
  <c r="BV44" i="1"/>
  <c r="BY44" i="1"/>
  <c r="CC44" i="1" s="1"/>
  <c r="BV43" i="1"/>
  <c r="BY43" i="1" s="1"/>
  <c r="BV42" i="1"/>
  <c r="BY42" i="1"/>
  <c r="BV41" i="1"/>
  <c r="BY41" i="1" s="1"/>
  <c r="BV40" i="1"/>
  <c r="BY40" i="1" s="1"/>
  <c r="BV39" i="1"/>
  <c r="BY39" i="1"/>
  <c r="BV38" i="1"/>
  <c r="BY38" i="1" s="1"/>
  <c r="BV37" i="1"/>
  <c r="BY37" i="1"/>
  <c r="CC37" i="1" s="1"/>
  <c r="BV36" i="1"/>
  <c r="BY36" i="1" s="1"/>
  <c r="CC36" i="1" s="1"/>
  <c r="BV35" i="1"/>
  <c r="BY35" i="1" s="1"/>
  <c r="BV34" i="1"/>
  <c r="BY34" i="1"/>
  <c r="BV33" i="1"/>
  <c r="BY33" i="1" s="1"/>
  <c r="BV32" i="1"/>
  <c r="BY32" i="1" s="1"/>
  <c r="BV31" i="1"/>
  <c r="BY31" i="1"/>
  <c r="BV30" i="1"/>
  <c r="BY30" i="1" s="1"/>
  <c r="CC30" i="1" s="1"/>
  <c r="BV29" i="1"/>
  <c r="BY29" i="1"/>
  <c r="CC29" i="1" s="1"/>
  <c r="BV28" i="1"/>
  <c r="BY28" i="1" s="1"/>
  <c r="CC28" i="1" s="1"/>
  <c r="BV27" i="1"/>
  <c r="BY27" i="1" s="1"/>
  <c r="BV26" i="1"/>
  <c r="BY26" i="1"/>
  <c r="CC26" i="1" s="1"/>
  <c r="BV25" i="1"/>
  <c r="BY25" i="1" s="1"/>
  <c r="BV24" i="1"/>
  <c r="BY24" i="1" s="1"/>
  <c r="BV23" i="1"/>
  <c r="BY23" i="1"/>
  <c r="CC23" i="1" s="1"/>
  <c r="BV22" i="1"/>
  <c r="BY22" i="1" s="1"/>
  <c r="BV21" i="1"/>
  <c r="BY21" i="1"/>
  <c r="BV20" i="1"/>
  <c r="BY20" i="1"/>
  <c r="CC20" i="1"/>
  <c r="BV19" i="1"/>
  <c r="BY19" i="1" s="1"/>
  <c r="BV18" i="1"/>
  <c r="BY18" i="1" s="1"/>
  <c r="BV17" i="1"/>
  <c r="BY17" i="1"/>
  <c r="CC17" i="1"/>
  <c r="BV16" i="1"/>
  <c r="BY16" i="1" s="1"/>
  <c r="CC16" i="1" s="1"/>
  <c r="BV15" i="1"/>
  <c r="BY15" i="1" s="1"/>
  <c r="CC15" i="1" s="1"/>
  <c r="BV14" i="1"/>
  <c r="BY14" i="1"/>
  <c r="CC14" i="1" s="1"/>
  <c r="BV13" i="1"/>
  <c r="BY13" i="1" s="1"/>
  <c r="BV12" i="1"/>
  <c r="BY12" i="1" s="1"/>
  <c r="CC12" i="1" s="1"/>
  <c r="BV11" i="1"/>
  <c r="BY11" i="1"/>
  <c r="CC11" i="1" s="1"/>
  <c r="BV10" i="1"/>
  <c r="BY10" i="1"/>
  <c r="BV9" i="1"/>
  <c r="BY9" i="1" s="1"/>
  <c r="BV8" i="1"/>
  <c r="BY8" i="1" s="1"/>
  <c r="CC8" i="1" s="1"/>
  <c r="BV7" i="1"/>
  <c r="BY7" i="1"/>
  <c r="BV6" i="1"/>
  <c r="BY6" i="1"/>
  <c r="BV5" i="1"/>
  <c r="BY5" i="1"/>
  <c r="CC5" i="1" s="1"/>
  <c r="BV4" i="1"/>
  <c r="BY4" i="1"/>
  <c r="CC4" i="1"/>
  <c r="BV3" i="1"/>
  <c r="BY3" i="1" s="1"/>
  <c r="BU3" i="1"/>
  <c r="BX3" i="1" s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L65" i="1"/>
  <c r="AA66" i="2"/>
  <c r="AA59" i="2"/>
  <c r="AA29" i="2"/>
  <c r="E14" i="3"/>
  <c r="Z85" i="2"/>
  <c r="Z81" i="2"/>
  <c r="Z80" i="2"/>
  <c r="Z73" i="2"/>
  <c r="Z69" i="2"/>
  <c r="Z68" i="2"/>
  <c r="Z65" i="2"/>
  <c r="Z63" i="2"/>
  <c r="Z60" i="2"/>
  <c r="Z53" i="2"/>
  <c r="Z49" i="2"/>
  <c r="Z48" i="2"/>
  <c r="Z19" i="2"/>
  <c r="Z18" i="2"/>
  <c r="Y91" i="2"/>
  <c r="Z91" i="2"/>
  <c r="Y90" i="2"/>
  <c r="Z90" i="2"/>
  <c r="Y89" i="2"/>
  <c r="Z89" i="2"/>
  <c r="Y88" i="2"/>
  <c r="Z88" i="2"/>
  <c r="Y87" i="2"/>
  <c r="Z87" i="2"/>
  <c r="Y86" i="2"/>
  <c r="Z86" i="2"/>
  <c r="Y84" i="2"/>
  <c r="Z84" i="2"/>
  <c r="Y83" i="2"/>
  <c r="Z83" i="2"/>
  <c r="Y82" i="2"/>
  <c r="Z82" i="2"/>
  <c r="Y79" i="2"/>
  <c r="Z79" i="2"/>
  <c r="Y78" i="2"/>
  <c r="Z78" i="2"/>
  <c r="Y77" i="2"/>
  <c r="Z77" i="2"/>
  <c r="Y76" i="2"/>
  <c r="Z76" i="2"/>
  <c r="Y75" i="2"/>
  <c r="Z75" i="2"/>
  <c r="Y74" i="2"/>
  <c r="Z74" i="2"/>
  <c r="Y72" i="2"/>
  <c r="Z72" i="2"/>
  <c r="Y71" i="2"/>
  <c r="Z71" i="2"/>
  <c r="Y70" i="2"/>
  <c r="Z70" i="2"/>
  <c r="Y67" i="2"/>
  <c r="Z67" i="2"/>
  <c r="Y66" i="2"/>
  <c r="Z66" i="2"/>
  <c r="Y64" i="2"/>
  <c r="Z64" i="2"/>
  <c r="Y62" i="2"/>
  <c r="Z62" i="2"/>
  <c r="Y61" i="2"/>
  <c r="Z61" i="2"/>
  <c r="Y59" i="2"/>
  <c r="Z59" i="2"/>
  <c r="Y58" i="2"/>
  <c r="Z58" i="2"/>
  <c r="Y57" i="2"/>
  <c r="Z57" i="2"/>
  <c r="Y56" i="2"/>
  <c r="Z56" i="2"/>
  <c r="Y55" i="2"/>
  <c r="Z55" i="2"/>
  <c r="Y54" i="2"/>
  <c r="Z54" i="2"/>
  <c r="Y53" i="2"/>
  <c r="Y52" i="2"/>
  <c r="Z52" i="2"/>
  <c r="Y51" i="2"/>
  <c r="Z51" i="2"/>
  <c r="Y50" i="2"/>
  <c r="Z50" i="2"/>
  <c r="Y47" i="2"/>
  <c r="Z47" i="2"/>
  <c r="Y46" i="2"/>
  <c r="Z46" i="2"/>
  <c r="Y45" i="2"/>
  <c r="Z45" i="2"/>
  <c r="Y44" i="2"/>
  <c r="Z44" i="2"/>
  <c r="Y43" i="2"/>
  <c r="Z43" i="2"/>
  <c r="Y42" i="2"/>
  <c r="Z42" i="2"/>
  <c r="Y41" i="2"/>
  <c r="Z41" i="2"/>
  <c r="Y40" i="2"/>
  <c r="Z40" i="2"/>
  <c r="Y39" i="2"/>
  <c r="Z39" i="2"/>
  <c r="Y38" i="2"/>
  <c r="Z38" i="2"/>
  <c r="Y37" i="2"/>
  <c r="Z37" i="2"/>
  <c r="Y36" i="2"/>
  <c r="Z36" i="2"/>
  <c r="Y35" i="2"/>
  <c r="Z35" i="2"/>
  <c r="Y34" i="2"/>
  <c r="Z34" i="2"/>
  <c r="Y33" i="2"/>
  <c r="Z33" i="2"/>
  <c r="Y32" i="2"/>
  <c r="Z32" i="2"/>
  <c r="Y31" i="2"/>
  <c r="Z31" i="2"/>
  <c r="Y30" i="2"/>
  <c r="Z30" i="2"/>
  <c r="Y29" i="2"/>
  <c r="Z29" i="2"/>
  <c r="Y28" i="2"/>
  <c r="Z28" i="2"/>
  <c r="Y27" i="2"/>
  <c r="Z27" i="2"/>
  <c r="Y26" i="2"/>
  <c r="Z26" i="2"/>
  <c r="Y25" i="2"/>
  <c r="Z25" i="2"/>
  <c r="Y24" i="2"/>
  <c r="Z24" i="2"/>
  <c r="Y23" i="2"/>
  <c r="Z23" i="2"/>
  <c r="Y22" i="2"/>
  <c r="Z22" i="2"/>
  <c r="Y21" i="2"/>
  <c r="Z21" i="2"/>
  <c r="Y20" i="2"/>
  <c r="Z20" i="2"/>
  <c r="Y19" i="2"/>
  <c r="Y17" i="2"/>
  <c r="Z17" i="2"/>
  <c r="Y16" i="2"/>
  <c r="Z16" i="2"/>
  <c r="Y15" i="2"/>
  <c r="Z15" i="2"/>
  <c r="Y14" i="2"/>
  <c r="Z14" i="2"/>
  <c r="Y13" i="2"/>
  <c r="Z13" i="2"/>
  <c r="Y12" i="2"/>
  <c r="Z12" i="2"/>
  <c r="Y11" i="2"/>
  <c r="Z11" i="2"/>
  <c r="Y10" i="2"/>
  <c r="Z10" i="2"/>
  <c r="Y9" i="2"/>
  <c r="Z9" i="2"/>
  <c r="Y8" i="2"/>
  <c r="Z8" i="2"/>
  <c r="Y7" i="2"/>
  <c r="Z7" i="2"/>
  <c r="Y6" i="2"/>
  <c r="Z6" i="2"/>
  <c r="Y5" i="2"/>
  <c r="Z5" i="2"/>
  <c r="Y4" i="2"/>
  <c r="Z4" i="2"/>
  <c r="Y3" i="2"/>
  <c r="Z3" i="2"/>
  <c r="CC34" i="1"/>
  <c r="X91" i="2"/>
  <c r="AA91" i="2"/>
  <c r="X90" i="2"/>
  <c r="X89" i="2"/>
  <c r="X88" i="2"/>
  <c r="X87" i="2"/>
  <c r="X86" i="2"/>
  <c r="X85" i="2"/>
  <c r="X84" i="2"/>
  <c r="X83" i="2"/>
  <c r="X82" i="2"/>
  <c r="X79" i="2"/>
  <c r="X78" i="2"/>
  <c r="X77" i="2"/>
  <c r="X76" i="2"/>
  <c r="X75" i="2"/>
  <c r="X74" i="2"/>
  <c r="X73" i="2"/>
  <c r="X72" i="2"/>
  <c r="X71" i="2"/>
  <c r="X70" i="2"/>
  <c r="X67" i="2"/>
  <c r="X66" i="2"/>
  <c r="X65" i="2"/>
  <c r="X64" i="2"/>
  <c r="X62" i="2"/>
  <c r="X61" i="2"/>
  <c r="X59" i="2"/>
  <c r="X58" i="2"/>
  <c r="X57" i="2"/>
  <c r="X56" i="2"/>
  <c r="X55" i="2"/>
  <c r="X54" i="2"/>
  <c r="X53" i="2"/>
  <c r="X52" i="2"/>
  <c r="X51" i="2"/>
  <c r="X50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AA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W90" i="2"/>
  <c r="W89" i="2"/>
  <c r="W88" i="2"/>
  <c r="W87" i="2"/>
  <c r="W86" i="2"/>
  <c r="W85" i="2"/>
  <c r="W84" i="2"/>
  <c r="W83" i="2"/>
  <c r="W82" i="2"/>
  <c r="W81" i="2"/>
  <c r="W80" i="2"/>
  <c r="W79" i="2"/>
  <c r="AA79" i="2"/>
  <c r="W78" i="2"/>
  <c r="W77" i="2"/>
  <c r="AA77" i="2"/>
  <c r="W76" i="2"/>
  <c r="W75" i="2"/>
  <c r="AA75" i="2"/>
  <c r="W74" i="2"/>
  <c r="W73" i="2"/>
  <c r="AA73" i="2"/>
  <c r="W72" i="2"/>
  <c r="W71" i="2"/>
  <c r="AA71" i="2"/>
  <c r="W70" i="2"/>
  <c r="W69" i="2"/>
  <c r="W68" i="2"/>
  <c r="W67" i="2"/>
  <c r="W66" i="2"/>
  <c r="W65" i="2"/>
  <c r="W64" i="2"/>
  <c r="W63" i="2"/>
  <c r="W62" i="2"/>
  <c r="AA62" i="2"/>
  <c r="W61" i="2"/>
  <c r="AA61" i="2"/>
  <c r="W60" i="2"/>
  <c r="W59" i="2"/>
  <c r="W58" i="2"/>
  <c r="W57" i="2"/>
  <c r="AA57" i="2"/>
  <c r="W56" i="2"/>
  <c r="W55" i="2"/>
  <c r="AA55" i="2"/>
  <c r="W54" i="2"/>
  <c r="W53" i="2"/>
  <c r="AA53" i="2"/>
  <c r="W52" i="2"/>
  <c r="W51" i="2"/>
  <c r="AA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AA6" i="2"/>
  <c r="AA10" i="2"/>
  <c r="AA14" i="2"/>
  <c r="AA35" i="2"/>
  <c r="AA39" i="2"/>
  <c r="AA43" i="2"/>
  <c r="AA47" i="2"/>
  <c r="AA67" i="2"/>
  <c r="AA83" i="2"/>
  <c r="AA87" i="2"/>
  <c r="AA19" i="2"/>
  <c r="AA23" i="2"/>
  <c r="AA27" i="2"/>
  <c r="AA31" i="2"/>
  <c r="AA22" i="2"/>
  <c r="AA26" i="2"/>
  <c r="AA30" i="2"/>
  <c r="AA52" i="2"/>
  <c r="AA56" i="2"/>
  <c r="AA72" i="2"/>
  <c r="AA76" i="2"/>
  <c r="AA3" i="2"/>
  <c r="AA7" i="2"/>
  <c r="AA11" i="2"/>
  <c r="AA15" i="2"/>
  <c r="AA36" i="2"/>
  <c r="AA40" i="2"/>
  <c r="AA44" i="2"/>
  <c r="AA64" i="2"/>
  <c r="AA84" i="2"/>
  <c r="AA88" i="2"/>
  <c r="AA4" i="2"/>
  <c r="AA8" i="2"/>
  <c r="AA12" i="2"/>
  <c r="AA16" i="2"/>
  <c r="AA20" i="2"/>
  <c r="AA24" i="2"/>
  <c r="AA28" i="2"/>
  <c r="AA37" i="2"/>
  <c r="AA41" i="2"/>
  <c r="AA45" i="2"/>
  <c r="AA65" i="2"/>
  <c r="AA85" i="2"/>
  <c r="AA89" i="2"/>
  <c r="AA5" i="2"/>
  <c r="AA9" i="2"/>
  <c r="AA13" i="2"/>
  <c r="AA17" i="2"/>
  <c r="AA21" i="2"/>
  <c r="AA25" i="2"/>
  <c r="AA34" i="2"/>
  <c r="AA38" i="2"/>
  <c r="AA42" i="2"/>
  <c r="AA46" i="2"/>
  <c r="AA50" i="2"/>
  <c r="AA54" i="2"/>
  <c r="AA58" i="2"/>
  <c r="AA70" i="2"/>
  <c r="AA74" i="2"/>
  <c r="AA78" i="2"/>
  <c r="AA82" i="2"/>
  <c r="AA86" i="2"/>
  <c r="AA90" i="2"/>
  <c r="AA93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C5" i="3"/>
  <c r="D5" i="3" s="1"/>
  <c r="C4" i="3"/>
  <c r="BL52" i="1"/>
  <c r="BD48" i="1"/>
  <c r="BC48" i="1"/>
  <c r="BD47" i="1"/>
  <c r="BC47" i="1"/>
  <c r="BD46" i="1"/>
  <c r="BC46" i="1"/>
  <c r="BD45" i="1"/>
  <c r="BC45" i="1"/>
  <c r="BD44" i="1"/>
  <c r="BC44" i="1"/>
  <c r="BD43" i="1"/>
  <c r="BC43" i="1"/>
  <c r="AZ46" i="1"/>
  <c r="AY46" i="1"/>
  <c r="AX46" i="1"/>
  <c r="AZ45" i="1"/>
  <c r="AY45" i="1"/>
  <c r="AX45" i="1"/>
  <c r="AZ44" i="1"/>
  <c r="AY44" i="1"/>
  <c r="AX44" i="1"/>
  <c r="AZ43" i="1"/>
  <c r="AY43" i="1"/>
  <c r="AX43" i="1"/>
  <c r="AZ42" i="1"/>
  <c r="AY42" i="1"/>
  <c r="AX42" i="1"/>
  <c r="AZ41" i="1"/>
  <c r="AY41" i="1"/>
  <c r="AX41" i="1"/>
  <c r="AZ40" i="1"/>
  <c r="AY40" i="1"/>
  <c r="AX40" i="1"/>
  <c r="AZ39" i="1"/>
  <c r="AY39" i="1"/>
  <c r="AX39" i="1"/>
  <c r="AZ38" i="1"/>
  <c r="AY38" i="1"/>
  <c r="AX38" i="1"/>
  <c r="AZ37" i="1"/>
  <c r="AY37" i="1"/>
  <c r="AX37" i="1"/>
  <c r="AZ34" i="1"/>
  <c r="AY34" i="1"/>
  <c r="AX34" i="1"/>
  <c r="AZ33" i="1"/>
  <c r="AY33" i="1"/>
  <c r="AX33" i="1"/>
  <c r="AZ31" i="1"/>
  <c r="AY31" i="1"/>
  <c r="AX31" i="1"/>
  <c r="AZ29" i="1"/>
  <c r="AY29" i="1"/>
  <c r="AX29" i="1"/>
  <c r="AZ25" i="1"/>
  <c r="AY25" i="1"/>
  <c r="AX25" i="1"/>
  <c r="AZ24" i="1"/>
  <c r="AY24" i="1"/>
  <c r="AX24" i="1"/>
  <c r="AZ23" i="1"/>
  <c r="AY23" i="1"/>
  <c r="AX23" i="1"/>
  <c r="AZ22" i="1"/>
  <c r="AY22" i="1"/>
  <c r="AX22" i="1"/>
  <c r="AZ21" i="1"/>
  <c r="AY21" i="1"/>
  <c r="AX21" i="1"/>
  <c r="AZ20" i="1"/>
  <c r="AY20" i="1"/>
  <c r="AX20" i="1"/>
  <c r="AZ19" i="1"/>
  <c r="AY19" i="1"/>
  <c r="AX19" i="1"/>
  <c r="AZ18" i="1"/>
  <c r="AY18" i="1"/>
  <c r="AX18" i="1"/>
  <c r="AZ17" i="1"/>
  <c r="AY17" i="1"/>
  <c r="AX17" i="1"/>
  <c r="AZ15" i="1"/>
  <c r="AY15" i="1"/>
  <c r="AX15" i="1"/>
  <c r="AZ14" i="1"/>
  <c r="AY14" i="1"/>
  <c r="AX14" i="1"/>
  <c r="AZ13" i="1"/>
  <c r="AY13" i="1"/>
  <c r="AX13" i="1"/>
  <c r="AZ12" i="1"/>
  <c r="AY12" i="1"/>
  <c r="AX12" i="1"/>
  <c r="AZ11" i="1"/>
  <c r="AY11" i="1"/>
  <c r="AX11" i="1"/>
  <c r="AZ9" i="1"/>
  <c r="AY9" i="1"/>
  <c r="AX9" i="1"/>
  <c r="AZ8" i="1"/>
  <c r="AY8" i="1"/>
  <c r="AX8" i="1"/>
  <c r="AZ7" i="1"/>
  <c r="AY7" i="1"/>
  <c r="AX7" i="1"/>
  <c r="AZ6" i="1"/>
  <c r="AY6" i="1"/>
  <c r="AX6" i="1"/>
  <c r="AZ5" i="1"/>
  <c r="AY5" i="1"/>
  <c r="AX5" i="1"/>
  <c r="AZ4" i="1"/>
  <c r="AY4" i="1"/>
  <c r="AX4" i="1"/>
  <c r="AV46" i="1"/>
  <c r="AU46" i="1"/>
  <c r="AT46" i="1"/>
  <c r="AV45" i="1"/>
  <c r="AU45" i="1"/>
  <c r="AT45" i="1"/>
  <c r="AV44" i="1"/>
  <c r="AU44" i="1"/>
  <c r="AT44" i="1"/>
  <c r="AV43" i="1"/>
  <c r="AU43" i="1"/>
  <c r="AT43" i="1"/>
  <c r="AV41" i="1"/>
  <c r="AU41" i="1"/>
  <c r="AT41" i="1"/>
  <c r="AV40" i="1"/>
  <c r="AU40" i="1"/>
  <c r="AT40" i="1"/>
  <c r="AV39" i="1"/>
  <c r="AU39" i="1"/>
  <c r="AT39" i="1"/>
  <c r="AV38" i="1"/>
  <c r="AU38" i="1"/>
  <c r="AT38" i="1"/>
  <c r="AV37" i="1"/>
  <c r="AU37" i="1"/>
  <c r="AT37" i="1"/>
  <c r="AV36" i="1"/>
  <c r="AU36" i="1"/>
  <c r="AT36" i="1"/>
  <c r="AV35" i="1"/>
  <c r="AU35" i="1"/>
  <c r="AT35" i="1"/>
  <c r="AV34" i="1"/>
  <c r="AU34" i="1"/>
  <c r="AT34" i="1"/>
  <c r="AV32" i="1"/>
  <c r="AU32" i="1"/>
  <c r="AT32" i="1"/>
  <c r="AV31" i="1"/>
  <c r="AU31" i="1"/>
  <c r="AT31" i="1"/>
  <c r="AV30" i="1"/>
  <c r="AU30" i="1"/>
  <c r="AT30" i="1"/>
  <c r="AV28" i="1"/>
  <c r="AU28" i="1"/>
  <c r="AT28" i="1"/>
  <c r="AV27" i="1"/>
  <c r="AU27" i="1"/>
  <c r="AT27" i="1"/>
  <c r="AV26" i="1"/>
  <c r="AU26" i="1"/>
  <c r="AT26" i="1"/>
  <c r="AV24" i="1"/>
  <c r="AU24" i="1"/>
  <c r="AT24" i="1"/>
  <c r="AV22" i="1"/>
  <c r="AU22" i="1"/>
  <c r="AT22" i="1"/>
  <c r="AV21" i="1"/>
  <c r="AU21" i="1"/>
  <c r="AT21" i="1"/>
  <c r="AV19" i="1"/>
  <c r="AU19" i="1"/>
  <c r="AT19" i="1"/>
  <c r="AV18" i="1"/>
  <c r="AU18" i="1"/>
  <c r="AT18" i="1"/>
  <c r="AV17" i="1"/>
  <c r="AU17" i="1"/>
  <c r="AT17" i="1"/>
  <c r="AV16" i="1"/>
  <c r="AU16" i="1"/>
  <c r="AT16" i="1"/>
  <c r="AV15" i="1"/>
  <c r="AU15" i="1"/>
  <c r="AT15" i="1"/>
  <c r="AV14" i="1"/>
  <c r="AU14" i="1"/>
  <c r="AT14" i="1"/>
  <c r="AV12" i="1"/>
  <c r="AU12" i="1"/>
  <c r="AT12" i="1"/>
  <c r="AV11" i="1"/>
  <c r="AU11" i="1"/>
  <c r="AT11" i="1"/>
  <c r="AV10" i="1"/>
  <c r="AU10" i="1"/>
  <c r="AT10" i="1"/>
  <c r="AV9" i="1"/>
  <c r="AU9" i="1"/>
  <c r="AT9" i="1"/>
  <c r="AV8" i="1"/>
  <c r="AU8" i="1"/>
  <c r="AT8" i="1"/>
  <c r="AV7" i="1"/>
  <c r="AU7" i="1"/>
  <c r="AT7" i="1"/>
  <c r="AV6" i="1"/>
  <c r="AU6" i="1"/>
  <c r="AT6" i="1"/>
  <c r="AV4" i="1"/>
  <c r="AU4" i="1"/>
  <c r="AT4" i="1"/>
  <c r="AR46" i="1"/>
  <c r="AQ46" i="1"/>
  <c r="AP46" i="1"/>
  <c r="AR43" i="1"/>
  <c r="AQ43" i="1"/>
  <c r="AP43" i="1"/>
  <c r="AR42" i="1"/>
  <c r="AQ42" i="1"/>
  <c r="AP42" i="1"/>
  <c r="AR37" i="1"/>
  <c r="AQ37" i="1"/>
  <c r="AP37" i="1"/>
  <c r="AR36" i="1"/>
  <c r="AQ36" i="1"/>
  <c r="AP36" i="1"/>
  <c r="AR35" i="1"/>
  <c r="AQ35" i="1"/>
  <c r="AP35" i="1"/>
  <c r="AR33" i="1"/>
  <c r="AQ33" i="1"/>
  <c r="AP33" i="1"/>
  <c r="AR32" i="1"/>
  <c r="AQ32" i="1"/>
  <c r="AP32" i="1"/>
  <c r="AR31" i="1"/>
  <c r="AQ31" i="1"/>
  <c r="AP31" i="1"/>
  <c r="AR30" i="1"/>
  <c r="AQ30" i="1"/>
  <c r="AP30" i="1"/>
  <c r="AR29" i="1"/>
  <c r="AQ29" i="1"/>
  <c r="AP29" i="1"/>
  <c r="AR28" i="1"/>
  <c r="AQ28" i="1"/>
  <c r="AP28" i="1"/>
  <c r="AR27" i="1"/>
  <c r="AQ27" i="1"/>
  <c r="AP27" i="1"/>
  <c r="AR26" i="1"/>
  <c r="AQ26" i="1"/>
  <c r="AP26" i="1"/>
  <c r="AR25" i="1"/>
  <c r="AQ25" i="1"/>
  <c r="AP25" i="1"/>
  <c r="AR24" i="1"/>
  <c r="AQ24" i="1"/>
  <c r="AP24" i="1"/>
  <c r="AR23" i="1"/>
  <c r="AQ23" i="1"/>
  <c r="AP23" i="1"/>
  <c r="AR20" i="1"/>
  <c r="AQ20" i="1"/>
  <c r="AP20" i="1"/>
  <c r="AR19" i="1"/>
  <c r="AQ19" i="1"/>
  <c r="AP19" i="1"/>
  <c r="AR16" i="1"/>
  <c r="AQ16" i="1"/>
  <c r="AP16" i="1"/>
  <c r="AR15" i="1"/>
  <c r="AQ15" i="1"/>
  <c r="AP15" i="1"/>
  <c r="AR13" i="1"/>
  <c r="AQ13" i="1"/>
  <c r="AP13" i="1"/>
  <c r="AR10" i="1"/>
  <c r="AQ10" i="1"/>
  <c r="AP10" i="1"/>
  <c r="AR8" i="1"/>
  <c r="AQ8" i="1"/>
  <c r="AP8" i="1"/>
  <c r="AR5" i="1"/>
  <c r="AQ5" i="1"/>
  <c r="AP5" i="1"/>
  <c r="AR3" i="1"/>
  <c r="AQ3" i="1"/>
  <c r="AP3" i="1"/>
  <c r="BE4" i="1" s="1"/>
  <c r="AN45" i="1"/>
  <c r="AM45" i="1"/>
  <c r="AL45" i="1"/>
  <c r="AN44" i="1"/>
  <c r="AM44" i="1"/>
  <c r="AL44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8" i="1"/>
  <c r="AM18" i="1"/>
  <c r="AL18" i="1"/>
  <c r="AN17" i="1"/>
  <c r="AM17" i="1"/>
  <c r="AL17" i="1"/>
  <c r="AN16" i="1"/>
  <c r="AM16" i="1"/>
  <c r="AL16" i="1"/>
  <c r="AN14" i="1"/>
  <c r="AM14" i="1"/>
  <c r="AL14" i="1"/>
  <c r="AN13" i="1"/>
  <c r="AM13" i="1"/>
  <c r="AL13" i="1"/>
  <c r="AN12" i="1"/>
  <c r="AM12" i="1"/>
  <c r="AL12" i="1"/>
  <c r="AN11" i="1"/>
  <c r="AM11" i="1"/>
  <c r="AL11" i="1"/>
  <c r="AN10" i="1"/>
  <c r="AM10" i="1"/>
  <c r="AL10" i="1"/>
  <c r="AN9" i="1"/>
  <c r="AM9" i="1"/>
  <c r="AL9" i="1"/>
  <c r="AN7" i="1"/>
  <c r="AM7" i="1"/>
  <c r="AL7" i="1"/>
  <c r="AN6" i="1"/>
  <c r="AM6" i="1"/>
  <c r="AL6" i="1"/>
  <c r="AN5" i="1"/>
  <c r="AM5" i="1"/>
  <c r="AL5" i="1"/>
  <c r="AN4" i="1"/>
  <c r="AM4" i="1"/>
  <c r="AL4" i="1"/>
  <c r="W52" i="1"/>
  <c r="W51" i="1"/>
  <c r="W49" i="1"/>
  <c r="W46" i="1"/>
  <c r="W48" i="1" s="1"/>
  <c r="BH48" i="1" s="1"/>
  <c r="W43" i="1"/>
  <c r="BH43" i="1" s="1"/>
  <c r="W42" i="1"/>
  <c r="BH42" i="1" s="1"/>
  <c r="W40" i="1"/>
  <c r="BH40" i="1" s="1"/>
  <c r="W37" i="1"/>
  <c r="W38" i="1" s="1"/>
  <c r="BH38" i="1" s="1"/>
  <c r="W36" i="1"/>
  <c r="BH36" i="1" s="1"/>
  <c r="W35" i="1"/>
  <c r="BH35" i="1" s="1"/>
  <c r="W34" i="1"/>
  <c r="BH34" i="1" s="1"/>
  <c r="W33" i="1"/>
  <c r="BH33" i="1" s="1"/>
  <c r="W32" i="1"/>
  <c r="BH32" i="1" s="1"/>
  <c r="W31" i="1"/>
  <c r="BH31" i="1" s="1"/>
  <c r="W30" i="1"/>
  <c r="BH30" i="1" s="1"/>
  <c r="W29" i="1"/>
  <c r="BH29" i="1" s="1"/>
  <c r="W28" i="1"/>
  <c r="BH28" i="1" s="1"/>
  <c r="W27" i="1"/>
  <c r="BH27" i="1" s="1"/>
  <c r="W26" i="1"/>
  <c r="BH26" i="1" s="1"/>
  <c r="W25" i="1"/>
  <c r="BH25" i="1" s="1"/>
  <c r="W23" i="1"/>
  <c r="BH23" i="1" s="1"/>
  <c r="W22" i="1"/>
  <c r="BH22" i="1" s="1"/>
  <c r="W21" i="1"/>
  <c r="BH21" i="1" s="1"/>
  <c r="W20" i="1"/>
  <c r="BH20" i="1" s="1"/>
  <c r="W18" i="1"/>
  <c r="BH18" i="1" s="1"/>
  <c r="W17" i="1"/>
  <c r="BH17" i="1" s="1"/>
  <c r="W16" i="1"/>
  <c r="BH16" i="1" s="1"/>
  <c r="W14" i="1"/>
  <c r="BH14" i="1" s="1"/>
  <c r="W13" i="1"/>
  <c r="BH13" i="1" s="1"/>
  <c r="W12" i="1"/>
  <c r="BH12" i="1" s="1"/>
  <c r="W11" i="1"/>
  <c r="BH11" i="1" s="1"/>
  <c r="W10" i="1"/>
  <c r="BH10" i="1" s="1"/>
  <c r="W9" i="1"/>
  <c r="BH9" i="1" s="1"/>
  <c r="W7" i="1"/>
  <c r="BH7" i="1" s="1"/>
  <c r="W6" i="1"/>
  <c r="BH6" i="1" s="1"/>
  <c r="W5" i="1"/>
  <c r="BH5" i="1" s="1"/>
  <c r="W4" i="1"/>
  <c r="BH4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6" i="1"/>
  <c r="U49" i="1"/>
  <c r="U51" i="1"/>
  <c r="U52" i="1"/>
  <c r="T52" i="1"/>
  <c r="S52" i="1"/>
  <c r="T51" i="1"/>
  <c r="S51" i="1"/>
  <c r="T49" i="1"/>
  <c r="S49" i="1"/>
  <c r="T46" i="1"/>
  <c r="S46" i="1"/>
  <c r="Q51" i="1"/>
  <c r="Q52" i="1" s="1"/>
  <c r="BL51" i="1"/>
  <c r="Q50" i="1"/>
  <c r="BL50" i="1"/>
  <c r="Q49" i="1"/>
  <c r="BL49" i="1"/>
  <c r="Q48" i="1"/>
  <c r="BL48" i="1"/>
  <c r="Q47" i="1"/>
  <c r="BL47" i="1"/>
  <c r="Q45" i="1"/>
  <c r="Q46" i="1" s="1"/>
  <c r="BL46" i="1" s="1"/>
  <c r="BL45" i="1"/>
  <c r="Q44" i="1"/>
  <c r="BL44" i="1"/>
  <c r="Q42" i="1"/>
  <c r="Q43" i="1" s="1"/>
  <c r="BL43" i="1" s="1"/>
  <c r="BL42" i="1"/>
  <c r="Q41" i="1"/>
  <c r="BL41" i="1"/>
  <c r="Q40" i="1"/>
  <c r="BL40" i="1"/>
  <c r="Q39" i="1"/>
  <c r="BL39" i="1"/>
  <c r="Q38" i="1"/>
  <c r="Q37" i="1" s="1"/>
  <c r="BL37" i="1" s="1"/>
  <c r="BL38" i="1"/>
  <c r="Q36" i="1"/>
  <c r="BL36" i="1"/>
  <c r="Q35" i="1"/>
  <c r="BL35" i="1"/>
  <c r="Q34" i="1"/>
  <c r="BL34" i="1"/>
  <c r="Q32" i="1"/>
  <c r="Q33" i="1" s="1"/>
  <c r="BL33" i="1" s="1"/>
  <c r="BL32" i="1"/>
  <c r="Q30" i="1"/>
  <c r="BL30" i="1"/>
  <c r="Q28" i="1"/>
  <c r="Q29" i="1" s="1"/>
  <c r="BL29" i="1" s="1"/>
  <c r="BL28" i="1"/>
  <c r="Q27" i="1"/>
  <c r="BL27" i="1"/>
  <c r="Q26" i="1"/>
  <c r="Q25" i="1" s="1"/>
  <c r="BL25" i="1" s="1"/>
  <c r="BL26" i="1"/>
  <c r="Q22" i="1"/>
  <c r="BL2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5" i="1"/>
  <c r="N45" i="1"/>
  <c r="M45" i="1"/>
  <c r="AD52" i="1"/>
  <c r="AC52" i="1"/>
  <c r="AB52" i="1"/>
  <c r="AA52" i="1"/>
  <c r="Z52" i="1"/>
  <c r="Y52" i="1"/>
  <c r="AD51" i="1"/>
  <c r="AC51" i="1"/>
  <c r="AB51" i="1"/>
  <c r="AA51" i="1"/>
  <c r="Z51" i="1"/>
  <c r="Y51" i="1"/>
  <c r="AD50" i="1"/>
  <c r="AC50" i="1"/>
  <c r="AB50" i="1"/>
  <c r="AA50" i="1"/>
  <c r="Z50" i="1"/>
  <c r="Y50" i="1"/>
  <c r="AD49" i="1"/>
  <c r="AC49" i="1"/>
  <c r="AB49" i="1"/>
  <c r="AA49" i="1"/>
  <c r="Z49" i="1"/>
  <c r="Y49" i="1"/>
  <c r="AD48" i="1"/>
  <c r="AC48" i="1"/>
  <c r="AB48" i="1"/>
  <c r="AA48" i="1"/>
  <c r="Z48" i="1"/>
  <c r="Y48" i="1"/>
  <c r="AD47" i="1"/>
  <c r="AC47" i="1"/>
  <c r="AB47" i="1"/>
  <c r="AA47" i="1"/>
  <c r="Z47" i="1"/>
  <c r="Y47" i="1"/>
  <c r="AD46" i="1"/>
  <c r="AC46" i="1"/>
  <c r="AN46" i="1"/>
  <c r="AB46" i="1"/>
  <c r="AA46" i="1"/>
  <c r="Z46" i="1"/>
  <c r="Y46" i="1"/>
  <c r="AD45" i="1"/>
  <c r="AC45" i="1"/>
  <c r="AR45" i="1"/>
  <c r="AB45" i="1"/>
  <c r="AQ45" i="1"/>
  <c r="AA45" i="1"/>
  <c r="AP45" i="1"/>
  <c r="Z45" i="1"/>
  <c r="Y45" i="1"/>
  <c r="AM46" i="1"/>
  <c r="AL46" i="1"/>
  <c r="BD42" i="1"/>
  <c r="BC42" i="1"/>
  <c r="BD41" i="1"/>
  <c r="BC41" i="1"/>
  <c r="BD40" i="1"/>
  <c r="BC40" i="1"/>
  <c r="BD39" i="1"/>
  <c r="BC39" i="1"/>
  <c r="BD38" i="1"/>
  <c r="BC38" i="1"/>
  <c r="BD37" i="1"/>
  <c r="BC37" i="1"/>
  <c r="BD36" i="1"/>
  <c r="BC36" i="1"/>
  <c r="BD35" i="1"/>
  <c r="BC35" i="1"/>
  <c r="BD34" i="1"/>
  <c r="BC34" i="1"/>
  <c r="BD33" i="1"/>
  <c r="BC33" i="1"/>
  <c r="BD32" i="1"/>
  <c r="BC32" i="1"/>
  <c r="BD31" i="1"/>
  <c r="BC31" i="1"/>
  <c r="BD30" i="1"/>
  <c r="BC30" i="1"/>
  <c r="BD29" i="1"/>
  <c r="BC29" i="1"/>
  <c r="BD28" i="1"/>
  <c r="BC28" i="1"/>
  <c r="BD27" i="1"/>
  <c r="BC27" i="1"/>
  <c r="BD26" i="1"/>
  <c r="BC26" i="1"/>
  <c r="BD25" i="1"/>
  <c r="BC25" i="1"/>
  <c r="BD24" i="1"/>
  <c r="BC24" i="1"/>
  <c r="BD23" i="1"/>
  <c r="BC23" i="1"/>
  <c r="BD22" i="1"/>
  <c r="BC22" i="1"/>
  <c r="BD21" i="1"/>
  <c r="BC21" i="1"/>
  <c r="BD20" i="1"/>
  <c r="BC20" i="1"/>
  <c r="BD19" i="1"/>
  <c r="BC19" i="1"/>
  <c r="BD18" i="1"/>
  <c r="BC18" i="1"/>
  <c r="BD17" i="1"/>
  <c r="BC17" i="1"/>
  <c r="BD16" i="1"/>
  <c r="BC16" i="1"/>
  <c r="BD15" i="1"/>
  <c r="BC15" i="1"/>
  <c r="BD14" i="1"/>
  <c r="BC14" i="1"/>
  <c r="BD13" i="1"/>
  <c r="BC13" i="1"/>
  <c r="BD12" i="1"/>
  <c r="BC12" i="1"/>
  <c r="BD11" i="1"/>
  <c r="BC11" i="1"/>
  <c r="BD9" i="1"/>
  <c r="BC9" i="1"/>
  <c r="BC10" i="1"/>
  <c r="BD8" i="1"/>
  <c r="BC8" i="1"/>
  <c r="BD7" i="1"/>
  <c r="BC7" i="1"/>
  <c r="BD6" i="1"/>
  <c r="BC6" i="1"/>
  <c r="BD5" i="1"/>
  <c r="BC5" i="1"/>
  <c r="BD4" i="1"/>
  <c r="BC4" i="1"/>
  <c r="BD3" i="1"/>
  <c r="BC3" i="1"/>
  <c r="AZ3" i="1"/>
  <c r="AY3" i="1"/>
  <c r="AX3" i="1"/>
  <c r="AV3" i="1"/>
  <c r="AU3" i="1"/>
  <c r="AT3" i="1"/>
  <c r="AD44" i="1"/>
  <c r="AC44" i="1"/>
  <c r="AB44" i="1"/>
  <c r="AA44" i="1"/>
  <c r="Z44" i="1"/>
  <c r="AD43" i="1"/>
  <c r="AC43" i="1"/>
  <c r="AB43" i="1"/>
  <c r="AA43" i="1"/>
  <c r="Z43" i="1"/>
  <c r="AD42" i="1"/>
  <c r="AC42" i="1"/>
  <c r="AV42" i="1"/>
  <c r="AB42" i="1"/>
  <c r="AU42" i="1"/>
  <c r="AA42" i="1"/>
  <c r="AT42" i="1"/>
  <c r="Z42" i="1"/>
  <c r="AD41" i="1"/>
  <c r="AC41" i="1"/>
  <c r="AR41" i="1"/>
  <c r="AB41" i="1"/>
  <c r="AQ41" i="1"/>
  <c r="AA41" i="1"/>
  <c r="AP41" i="1"/>
  <c r="Z41" i="1"/>
  <c r="AC40" i="1"/>
  <c r="AR40" i="1"/>
  <c r="AB40" i="1"/>
  <c r="AQ40" i="1"/>
  <c r="AA40" i="1"/>
  <c r="AP40" i="1"/>
  <c r="Z40" i="1"/>
  <c r="AD39" i="1"/>
  <c r="AC39" i="1"/>
  <c r="AR39" i="1"/>
  <c r="AB39" i="1"/>
  <c r="AQ39" i="1"/>
  <c r="AA39" i="1"/>
  <c r="AP39" i="1"/>
  <c r="Z39" i="1"/>
  <c r="W64" i="1"/>
  <c r="T43" i="1"/>
  <c r="S43" i="1"/>
  <c r="O44" i="1"/>
  <c r="N44" i="1"/>
  <c r="M44" i="1"/>
  <c r="Y44" i="1"/>
  <c r="Y43" i="1"/>
  <c r="AL43" i="1"/>
  <c r="AM43" i="1"/>
  <c r="AP44" i="1"/>
  <c r="AN43" i="1"/>
  <c r="AQ44" i="1"/>
  <c r="AR44" i="1"/>
  <c r="W44" i="1"/>
  <c r="BH44" i="1" s="1"/>
  <c r="AZ64" i="1"/>
  <c r="AV64" i="1"/>
  <c r="AN64" i="1"/>
  <c r="AD38" i="1"/>
  <c r="AD37" i="1"/>
  <c r="AD36" i="1"/>
  <c r="AD35" i="1"/>
  <c r="AD33" i="1"/>
  <c r="AD32" i="1"/>
  <c r="AD31" i="1"/>
  <c r="AD30" i="1"/>
  <c r="AD29" i="1"/>
  <c r="AD28" i="1"/>
  <c r="AD27" i="1"/>
  <c r="AD26" i="1"/>
  <c r="AD25" i="1"/>
  <c r="AD24" i="1"/>
  <c r="AD23" i="1"/>
  <c r="AD20" i="1"/>
  <c r="AD19" i="1"/>
  <c r="AD16" i="1"/>
  <c r="AD15" i="1"/>
  <c r="AD13" i="1"/>
  <c r="AD10" i="1"/>
  <c r="AD8" i="1"/>
  <c r="AD5" i="1"/>
  <c r="AD3" i="1"/>
  <c r="J40" i="1"/>
  <c r="AD40" i="1"/>
  <c r="J34" i="1"/>
  <c r="AD34" i="1"/>
  <c r="J22" i="1"/>
  <c r="AD22" i="1"/>
  <c r="J21" i="1"/>
  <c r="AD21" i="1"/>
  <c r="J18" i="1"/>
  <c r="AD18" i="1"/>
  <c r="J17" i="1"/>
  <c r="AD17" i="1"/>
  <c r="J14" i="1"/>
  <c r="AD14" i="1"/>
  <c r="J12" i="1"/>
  <c r="AD12" i="1"/>
  <c r="J11" i="1"/>
  <c r="AD11" i="1"/>
  <c r="J9" i="1"/>
  <c r="AD9" i="1"/>
  <c r="J7" i="1"/>
  <c r="AD7" i="1"/>
  <c r="J6" i="1"/>
  <c r="AD6" i="1"/>
  <c r="J4" i="1"/>
  <c r="AD4" i="1"/>
  <c r="J64" i="1"/>
  <c r="AD64" i="1"/>
  <c r="K42" i="1"/>
  <c r="K41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0" i="1"/>
  <c r="K19" i="1"/>
  <c r="K16" i="1"/>
  <c r="K15" i="1"/>
  <c r="K13" i="1"/>
  <c r="K10" i="1"/>
  <c r="K8" i="1"/>
  <c r="K5" i="1"/>
  <c r="K3" i="1"/>
  <c r="O42" i="1"/>
  <c r="T42" i="1"/>
  <c r="S42" i="1"/>
  <c r="M42" i="1"/>
  <c r="N42" i="1"/>
  <c r="Y42" i="1"/>
  <c r="T41" i="1"/>
  <c r="Y41" i="1"/>
  <c r="Y40" i="1"/>
  <c r="N41" i="1"/>
  <c r="M41" i="1"/>
  <c r="O41" i="1"/>
  <c r="T40" i="1"/>
  <c r="S40" i="1"/>
  <c r="T39" i="1"/>
  <c r="O40" i="1"/>
  <c r="N40" i="1"/>
  <c r="M40" i="1"/>
  <c r="N39" i="1"/>
  <c r="S39" i="1"/>
  <c r="O39" i="1"/>
  <c r="M39" i="1"/>
  <c r="Y39" i="1"/>
  <c r="W41" i="1"/>
  <c r="BH41" i="1" s="1"/>
  <c r="BC64" i="1"/>
  <c r="AY64" i="1"/>
  <c r="AX64" i="1"/>
  <c r="AU64" i="1"/>
  <c r="AT64" i="1"/>
  <c r="S38" i="1"/>
  <c r="S37" i="1"/>
  <c r="W39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9" i="1"/>
  <c r="S10" i="1"/>
  <c r="S8" i="1"/>
  <c r="S7" i="1"/>
  <c r="S6" i="1"/>
  <c r="S5" i="1"/>
  <c r="S4" i="1"/>
  <c r="S3" i="1"/>
  <c r="S64" i="1"/>
  <c r="T38" i="1"/>
  <c r="T36" i="1"/>
  <c r="T35" i="1"/>
  <c r="T34" i="1"/>
  <c r="T33" i="1"/>
  <c r="T3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9" i="1"/>
  <c r="T8" i="1"/>
  <c r="T7" i="1"/>
  <c r="T6" i="1"/>
  <c r="T5" i="1"/>
  <c r="T4" i="1"/>
  <c r="U3" i="1"/>
  <c r="T3" i="1"/>
  <c r="T64" i="1"/>
  <c r="N64" i="1"/>
  <c r="U64" i="1"/>
  <c r="O64" i="1"/>
  <c r="M64" i="1"/>
  <c r="AC38" i="1"/>
  <c r="AR38" i="1"/>
  <c r="AB38" i="1"/>
  <c r="AQ38" i="1"/>
  <c r="AA38" i="1"/>
  <c r="AP38" i="1"/>
  <c r="Z38" i="1"/>
  <c r="Y38" i="1"/>
  <c r="AC37" i="1"/>
  <c r="AN37" i="1"/>
  <c r="AB37" i="1"/>
  <c r="AM37" i="1"/>
  <c r="AA37" i="1"/>
  <c r="AL37" i="1"/>
  <c r="Y37" i="1"/>
  <c r="AC36" i="1"/>
  <c r="AZ36" i="1"/>
  <c r="AB36" i="1"/>
  <c r="AY36" i="1"/>
  <c r="AA36" i="1"/>
  <c r="AX36" i="1"/>
  <c r="Z36" i="1"/>
  <c r="Y36" i="1"/>
  <c r="AC35" i="1"/>
  <c r="AZ35" i="1"/>
  <c r="AB35" i="1"/>
  <c r="AY35" i="1"/>
  <c r="AA35" i="1"/>
  <c r="AX35" i="1"/>
  <c r="Z35" i="1"/>
  <c r="Y35" i="1"/>
  <c r="AC34" i="1"/>
  <c r="AR34" i="1"/>
  <c r="AB34" i="1"/>
  <c r="AQ34" i="1"/>
  <c r="AA34" i="1"/>
  <c r="AP34" i="1"/>
  <c r="Z34" i="1"/>
  <c r="Y34" i="1"/>
  <c r="AC33" i="1"/>
  <c r="AV33" i="1"/>
  <c r="AB33" i="1"/>
  <c r="AU33" i="1"/>
  <c r="AA33" i="1"/>
  <c r="AT33" i="1"/>
  <c r="Z33" i="1"/>
  <c r="Y33" i="1"/>
  <c r="AC32" i="1"/>
  <c r="AZ32" i="1"/>
  <c r="AB32" i="1"/>
  <c r="AY32" i="1"/>
  <c r="AA32" i="1"/>
  <c r="AX32" i="1"/>
  <c r="Z32" i="1"/>
  <c r="Y32" i="1"/>
  <c r="AC31" i="1"/>
  <c r="AN31" i="1"/>
  <c r="AB31" i="1"/>
  <c r="AM31" i="1"/>
  <c r="AA31" i="1"/>
  <c r="AL31" i="1"/>
  <c r="Y31" i="1"/>
  <c r="AC30" i="1"/>
  <c r="AZ30" i="1"/>
  <c r="AB30" i="1"/>
  <c r="AY30" i="1"/>
  <c r="AA30" i="1"/>
  <c r="AX30" i="1"/>
  <c r="Z30" i="1"/>
  <c r="Y30" i="1"/>
  <c r="AC29" i="1"/>
  <c r="AV29" i="1"/>
  <c r="AB29" i="1"/>
  <c r="AU29" i="1"/>
  <c r="AA29" i="1"/>
  <c r="AT29" i="1"/>
  <c r="Z29" i="1"/>
  <c r="Y29" i="1"/>
  <c r="AC28" i="1"/>
  <c r="AZ28" i="1"/>
  <c r="AB28" i="1"/>
  <c r="AY28" i="1"/>
  <c r="AA28" i="1"/>
  <c r="AX28" i="1"/>
  <c r="Z28" i="1"/>
  <c r="Y28" i="1"/>
  <c r="AC27" i="1"/>
  <c r="AZ27" i="1"/>
  <c r="AB27" i="1"/>
  <c r="AY27" i="1"/>
  <c r="AA27" i="1"/>
  <c r="AX27" i="1"/>
  <c r="Z27" i="1"/>
  <c r="Y27" i="1"/>
  <c r="AC26" i="1"/>
  <c r="AZ26" i="1"/>
  <c r="AB26" i="1"/>
  <c r="AY26" i="1"/>
  <c r="AA26" i="1"/>
  <c r="AX26" i="1"/>
  <c r="Z26" i="1"/>
  <c r="Y26" i="1"/>
  <c r="AC25" i="1"/>
  <c r="AV25" i="1"/>
  <c r="AB25" i="1"/>
  <c r="AU25" i="1"/>
  <c r="AA25" i="1"/>
  <c r="AT25" i="1"/>
  <c r="Z25" i="1"/>
  <c r="Y25" i="1"/>
  <c r="AC24" i="1"/>
  <c r="AN24" i="1"/>
  <c r="AB24" i="1"/>
  <c r="AM24" i="1"/>
  <c r="AA24" i="1"/>
  <c r="AL24" i="1"/>
  <c r="Y24" i="1"/>
  <c r="AC23" i="1"/>
  <c r="AV23" i="1"/>
  <c r="AB23" i="1"/>
  <c r="AU23" i="1"/>
  <c r="AA23" i="1"/>
  <c r="AT23" i="1"/>
  <c r="Z23" i="1"/>
  <c r="Y23" i="1"/>
  <c r="AC22" i="1"/>
  <c r="AR22" i="1"/>
  <c r="AB22" i="1"/>
  <c r="AQ22" i="1"/>
  <c r="AA22" i="1"/>
  <c r="AP22" i="1"/>
  <c r="Z22" i="1"/>
  <c r="Y22" i="1"/>
  <c r="AC21" i="1"/>
  <c r="AR21" i="1"/>
  <c r="AB21" i="1"/>
  <c r="AQ21" i="1"/>
  <c r="AA21" i="1"/>
  <c r="AP21" i="1"/>
  <c r="Z21" i="1"/>
  <c r="Y21" i="1"/>
  <c r="AC20" i="1"/>
  <c r="AV20" i="1"/>
  <c r="AB20" i="1"/>
  <c r="AU20" i="1"/>
  <c r="AA20" i="1"/>
  <c r="AT20" i="1"/>
  <c r="Z20" i="1"/>
  <c r="Y20" i="1"/>
  <c r="AC19" i="1"/>
  <c r="AN19" i="1"/>
  <c r="AB19" i="1"/>
  <c r="AM19" i="1"/>
  <c r="AA19" i="1"/>
  <c r="AL19" i="1"/>
  <c r="Y19" i="1"/>
  <c r="AC18" i="1"/>
  <c r="AR18" i="1"/>
  <c r="AB18" i="1"/>
  <c r="AQ18" i="1"/>
  <c r="AA18" i="1"/>
  <c r="AP18" i="1"/>
  <c r="Z18" i="1"/>
  <c r="Y18" i="1"/>
  <c r="AC17" i="1"/>
  <c r="AR17" i="1"/>
  <c r="AB17" i="1"/>
  <c r="AQ17" i="1"/>
  <c r="AA17" i="1"/>
  <c r="AP17" i="1"/>
  <c r="Z17" i="1"/>
  <c r="Y17" i="1"/>
  <c r="AC16" i="1"/>
  <c r="AZ16" i="1"/>
  <c r="AB16" i="1"/>
  <c r="AY16" i="1"/>
  <c r="AA16" i="1"/>
  <c r="AX16" i="1"/>
  <c r="Z16" i="1"/>
  <c r="Y16" i="1"/>
  <c r="AC15" i="1"/>
  <c r="AN15" i="1"/>
  <c r="AB15" i="1"/>
  <c r="AM15" i="1"/>
  <c r="AA15" i="1"/>
  <c r="AL15" i="1"/>
  <c r="Y15" i="1"/>
  <c r="AC14" i="1"/>
  <c r="AR14" i="1"/>
  <c r="AB14" i="1"/>
  <c r="AQ14" i="1"/>
  <c r="AA14" i="1"/>
  <c r="AP14" i="1"/>
  <c r="Z14" i="1"/>
  <c r="Y14" i="1"/>
  <c r="AC13" i="1"/>
  <c r="AV13" i="1"/>
  <c r="AB13" i="1"/>
  <c r="AU13" i="1"/>
  <c r="AA13" i="1"/>
  <c r="AT13" i="1"/>
  <c r="Z13" i="1"/>
  <c r="Y13" i="1"/>
  <c r="AC12" i="1"/>
  <c r="AR12" i="1"/>
  <c r="AB12" i="1"/>
  <c r="AQ12" i="1"/>
  <c r="AA12" i="1"/>
  <c r="AP12" i="1"/>
  <c r="Z12" i="1"/>
  <c r="Y12" i="1"/>
  <c r="AC11" i="1"/>
  <c r="AR11" i="1"/>
  <c r="AB11" i="1"/>
  <c r="AQ11" i="1"/>
  <c r="AA11" i="1"/>
  <c r="AP11" i="1"/>
  <c r="Z11" i="1"/>
  <c r="Y11" i="1"/>
  <c r="AC9" i="1"/>
  <c r="AR9" i="1"/>
  <c r="AB9" i="1"/>
  <c r="AQ9" i="1"/>
  <c r="BF44" i="1" s="1"/>
  <c r="AA9" i="1"/>
  <c r="AP9" i="1"/>
  <c r="Z9" i="1"/>
  <c r="Y9" i="1"/>
  <c r="AC10" i="1"/>
  <c r="AZ10" i="1"/>
  <c r="AB10" i="1"/>
  <c r="AY10" i="1"/>
  <c r="AA10" i="1"/>
  <c r="AX10" i="1"/>
  <c r="Y10" i="1"/>
  <c r="AC8" i="1"/>
  <c r="AN8" i="1"/>
  <c r="AB8" i="1"/>
  <c r="AM8" i="1"/>
  <c r="AA8" i="1"/>
  <c r="AL8" i="1"/>
  <c r="Y8" i="1"/>
  <c r="AC7" i="1"/>
  <c r="AR7" i="1"/>
  <c r="AB7" i="1"/>
  <c r="AQ7" i="1"/>
  <c r="AA7" i="1"/>
  <c r="AP7" i="1"/>
  <c r="Z7" i="1"/>
  <c r="Y7" i="1"/>
  <c r="AC6" i="1"/>
  <c r="AR6" i="1"/>
  <c r="AB6" i="1"/>
  <c r="AQ6" i="1"/>
  <c r="AA6" i="1"/>
  <c r="AP6" i="1"/>
  <c r="Z6" i="1"/>
  <c r="Y6" i="1"/>
  <c r="AC5" i="1"/>
  <c r="AV5" i="1"/>
  <c r="AB5" i="1"/>
  <c r="AU5" i="1"/>
  <c r="AA5" i="1"/>
  <c r="AT5" i="1"/>
  <c r="Z5" i="1"/>
  <c r="Y5" i="1"/>
  <c r="AC4" i="1"/>
  <c r="AR4" i="1"/>
  <c r="AB4" i="1"/>
  <c r="AQ4" i="1"/>
  <c r="AA4" i="1"/>
  <c r="AP4" i="1"/>
  <c r="Y4" i="1"/>
  <c r="AC3" i="1"/>
  <c r="AB3" i="1"/>
  <c r="AA3" i="1"/>
  <c r="Y3" i="1"/>
  <c r="BG32" i="1"/>
  <c r="BH39" i="1"/>
  <c r="W19" i="1"/>
  <c r="BH19" i="1" s="1"/>
  <c r="AL3" i="1"/>
  <c r="AM3" i="1"/>
  <c r="AN3" i="1"/>
  <c r="AC64" i="1"/>
  <c r="AR64" i="1"/>
  <c r="AB64" i="1"/>
  <c r="AQ64" i="1"/>
  <c r="AA64" i="1"/>
  <c r="Y64" i="1"/>
  <c r="AP64" i="1"/>
  <c r="AL64" i="1"/>
  <c r="AM64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8" i="1"/>
  <c r="N8" i="1"/>
  <c r="M8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9" i="1"/>
  <c r="N9" i="1"/>
  <c r="M9" i="1"/>
  <c r="O10" i="1"/>
  <c r="N10" i="1"/>
  <c r="M10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Q31" i="1"/>
  <c r="BL31" i="1" s="1"/>
  <c r="BF29" i="1"/>
  <c r="BF13" i="1"/>
  <c r="BE33" i="1"/>
  <c r="BE39" i="1"/>
  <c r="Q23" i="1"/>
  <c r="BL23" i="1" s="1"/>
  <c r="BG10" i="1"/>
  <c r="BF4" i="1"/>
  <c r="BF22" i="1"/>
  <c r="BF21" i="1"/>
  <c r="BG37" i="1"/>
  <c r="T37" i="1"/>
  <c r="Z37" i="1"/>
  <c r="BD10" i="1"/>
  <c r="T10" i="1"/>
  <c r="Z10" i="1"/>
  <c r="Z8" i="1"/>
  <c r="Z24" i="1"/>
  <c r="Z15" i="1"/>
  <c r="Z4" i="1"/>
  <c r="T31" i="1"/>
  <c r="Z19" i="1"/>
  <c r="Z3" i="1"/>
  <c r="Z64" i="1"/>
  <c r="BD64" i="1"/>
  <c r="Z31" i="1"/>
  <c r="CB7" i="1" l="1"/>
  <c r="CC7" i="1"/>
  <c r="CB36" i="1"/>
  <c r="CB39" i="1"/>
  <c r="CC39" i="1"/>
  <c r="CC19" i="1"/>
  <c r="CB5" i="1"/>
  <c r="CB28" i="1"/>
  <c r="CB34" i="1"/>
  <c r="CB23" i="1"/>
  <c r="CB11" i="1"/>
  <c r="CB14" i="1"/>
  <c r="CB29" i="1"/>
  <c r="CB37" i="1"/>
  <c r="CC32" i="1"/>
  <c r="CC45" i="1"/>
  <c r="CB4" i="1"/>
  <c r="CC6" i="1"/>
  <c r="CB26" i="1"/>
  <c r="CB44" i="1"/>
  <c r="CB50" i="1"/>
  <c r="CC13" i="1"/>
  <c r="CC18" i="1"/>
  <c r="CC25" i="1"/>
  <c r="CC43" i="1"/>
  <c r="CC51" i="1"/>
  <c r="CB9" i="1"/>
  <c r="CB21" i="1"/>
  <c r="CB27" i="1"/>
  <c r="CB41" i="1"/>
  <c r="BF14" i="1"/>
  <c r="W24" i="1"/>
  <c r="BH24" i="1" s="1"/>
  <c r="W15" i="1"/>
  <c r="BH15" i="1" s="1"/>
  <c r="W45" i="1"/>
  <c r="BH45" i="1" s="1"/>
  <c r="W47" i="1"/>
  <c r="BH47" i="1" s="1"/>
  <c r="BH37" i="1"/>
  <c r="BH46" i="1"/>
  <c r="W8" i="1"/>
  <c r="BH8" i="1" s="1"/>
  <c r="W50" i="1"/>
  <c r="BG48" i="1"/>
  <c r="BG39" i="1"/>
  <c r="BG17" i="1"/>
  <c r="BG18" i="1"/>
  <c r="BG34" i="1"/>
  <c r="BG45" i="1"/>
  <c r="BG41" i="1"/>
  <c r="BG21" i="1"/>
  <c r="BG6" i="1"/>
  <c r="BG9" i="1"/>
  <c r="BG4" i="1"/>
  <c r="BG22" i="1"/>
  <c r="BG40" i="1"/>
  <c r="BG14" i="1"/>
  <c r="BG38" i="1"/>
  <c r="BG64" i="1"/>
  <c r="BG44" i="1"/>
  <c r="BG12" i="1"/>
  <c r="BG7" i="1"/>
  <c r="BG11" i="1"/>
  <c r="BF10" i="1"/>
  <c r="BF35" i="1"/>
  <c r="BF32" i="1"/>
  <c r="BF36" i="1"/>
  <c r="BF27" i="1"/>
  <c r="BF26" i="1"/>
  <c r="BF30" i="1"/>
  <c r="BF28" i="1"/>
  <c r="BE41" i="1"/>
  <c r="BE38" i="1"/>
  <c r="BE7" i="1"/>
  <c r="BE17" i="1"/>
  <c r="BE48" i="1"/>
  <c r="BE11" i="1"/>
  <c r="BE6" i="1"/>
  <c r="BE18" i="1"/>
  <c r="BE22" i="1"/>
  <c r="BE45" i="1"/>
  <c r="BE64" i="1"/>
  <c r="BE40" i="1"/>
  <c r="BE9" i="1"/>
  <c r="BE12" i="1"/>
  <c r="BE34" i="1"/>
  <c r="BE21" i="1"/>
  <c r="BF46" i="1"/>
  <c r="BF15" i="1"/>
  <c r="BF3" i="1"/>
  <c r="BF24" i="1"/>
  <c r="BF8" i="1"/>
  <c r="BF43" i="1"/>
  <c r="BF19" i="1"/>
  <c r="BF37" i="1"/>
  <c r="BG19" i="1"/>
  <c r="BG15" i="1"/>
  <c r="BG46" i="1"/>
  <c r="BG3" i="1"/>
  <c r="BG8" i="1"/>
  <c r="BG43" i="1"/>
  <c r="BG31" i="1"/>
  <c r="BG24" i="1"/>
  <c r="BG28" i="1"/>
  <c r="BG36" i="1"/>
  <c r="BG16" i="1"/>
  <c r="BG35" i="1"/>
  <c r="BG30" i="1"/>
  <c r="BG26" i="1"/>
  <c r="BG27" i="1"/>
  <c r="BE14" i="1"/>
  <c r="BF31" i="1"/>
  <c r="BF16" i="1"/>
  <c r="BE44" i="1"/>
  <c r="BE20" i="1"/>
  <c r="BE5" i="1"/>
  <c r="BE23" i="1"/>
  <c r="BE42" i="1"/>
  <c r="BE25" i="1"/>
  <c r="BE47" i="1"/>
  <c r="BE29" i="1"/>
  <c r="BE13" i="1"/>
  <c r="BF45" i="1"/>
  <c r="BF40" i="1"/>
  <c r="BF9" i="1"/>
  <c r="BF11" i="1"/>
  <c r="BF18" i="1"/>
  <c r="BF64" i="1"/>
  <c r="BF39" i="1"/>
  <c r="BF38" i="1"/>
  <c r="BF6" i="1"/>
  <c r="BF34" i="1"/>
  <c r="BF48" i="1"/>
  <c r="BF41" i="1"/>
  <c r="BF7" i="1"/>
  <c r="BF12" i="1"/>
  <c r="BF17" i="1"/>
  <c r="BF47" i="1"/>
  <c r="BF25" i="1"/>
  <c r="BF42" i="1"/>
  <c r="BF23" i="1"/>
  <c r="BF5" i="1"/>
  <c r="BF33" i="1"/>
  <c r="BF20" i="1"/>
  <c r="CC40" i="1"/>
  <c r="CB40" i="1"/>
  <c r="CB16" i="1"/>
  <c r="CC21" i="1"/>
  <c r="CC41" i="1"/>
  <c r="CC10" i="1"/>
  <c r="CB10" i="1"/>
  <c r="CB31" i="1"/>
  <c r="CC31" i="1"/>
  <c r="CC9" i="1"/>
  <c r="CC42" i="1"/>
  <c r="CB25" i="1"/>
  <c r="CB32" i="1"/>
  <c r="CB43" i="1"/>
  <c r="CB46" i="1"/>
  <c r="CB52" i="1"/>
  <c r="CC52" i="1"/>
  <c r="CB33" i="1"/>
  <c r="CC33" i="1"/>
  <c r="CC38" i="1"/>
  <c r="CB38" i="1"/>
  <c r="CB13" i="1"/>
  <c r="CB30" i="1"/>
  <c r="CB48" i="1"/>
  <c r="CB51" i="1"/>
  <c r="CB49" i="1"/>
  <c r="CC49" i="1"/>
  <c r="CC3" i="1"/>
  <c r="CB3" i="1"/>
  <c r="CC22" i="1"/>
  <c r="CB22" i="1"/>
  <c r="CC24" i="1"/>
  <c r="CB24" i="1"/>
  <c r="CC27" i="1"/>
  <c r="CB35" i="1"/>
  <c r="CC35" i="1"/>
  <c r="CB12" i="1"/>
  <c r="CB15" i="1"/>
  <c r="CB18" i="1"/>
  <c r="CB47" i="1"/>
  <c r="CC47" i="1"/>
  <c r="CB8" i="1"/>
  <c r="Q24" i="1"/>
  <c r="BL24" i="1" s="1"/>
  <c r="E5" i="3"/>
  <c r="D62" i="2" s="1"/>
  <c r="E6" i="3"/>
  <c r="E48" i="2" s="1"/>
  <c r="D4" i="3"/>
  <c r="C7" i="3"/>
  <c r="E4" i="3"/>
  <c r="BE35" i="1" l="1"/>
  <c r="BE32" i="1"/>
  <c r="BE30" i="1"/>
  <c r="BE36" i="1"/>
  <c r="BE28" i="1"/>
  <c r="BE16" i="1"/>
  <c r="BE27" i="1"/>
  <c r="BE26" i="1"/>
  <c r="BE10" i="1"/>
  <c r="BG47" i="1"/>
  <c r="BG33" i="1"/>
  <c r="BG23" i="1"/>
  <c r="BG13" i="1"/>
  <c r="BG25" i="1"/>
  <c r="BG5" i="1"/>
  <c r="BG42" i="1"/>
  <c r="BG20" i="1"/>
  <c r="BG29" i="1"/>
  <c r="BE46" i="1"/>
  <c r="BE24" i="1"/>
  <c r="BE8" i="1"/>
  <c r="BE43" i="1"/>
  <c r="BE31" i="1"/>
  <c r="BE19" i="1"/>
  <c r="BE37" i="1"/>
  <c r="BE15" i="1"/>
  <c r="BE3" i="1"/>
  <c r="E42" i="2"/>
  <c r="E78" i="2"/>
  <c r="E67" i="2"/>
  <c r="E58" i="2"/>
  <c r="E53" i="2"/>
  <c r="D78" i="2"/>
  <c r="E87" i="2"/>
  <c r="D56" i="2"/>
  <c r="E77" i="2"/>
  <c r="E4" i="2"/>
  <c r="E26" i="2"/>
  <c r="E89" i="2"/>
  <c r="E80" i="2"/>
  <c r="D91" i="2"/>
  <c r="E10" i="2"/>
  <c r="E54" i="2"/>
  <c r="E46" i="2"/>
  <c r="E82" i="2"/>
  <c r="E25" i="2"/>
  <c r="E19" i="2"/>
  <c r="E24" i="2"/>
  <c r="E36" i="2"/>
  <c r="E43" i="2"/>
  <c r="E49" i="2"/>
  <c r="E35" i="2"/>
  <c r="E39" i="2"/>
  <c r="E61" i="2"/>
  <c r="E18" i="2"/>
  <c r="E75" i="2"/>
  <c r="E14" i="2"/>
  <c r="E62" i="2"/>
  <c r="E86" i="2"/>
  <c r="E88" i="2"/>
  <c r="E71" i="2"/>
  <c r="E17" i="2"/>
  <c r="E84" i="2"/>
  <c r="E5" i="2"/>
  <c r="E16" i="2"/>
  <c r="D53" i="2"/>
  <c r="D64" i="2"/>
  <c r="D50" i="2"/>
  <c r="D41" i="2"/>
  <c r="D71" i="2"/>
  <c r="D19" i="2"/>
  <c r="D14" i="2"/>
  <c r="D59" i="2"/>
  <c r="D76" i="2"/>
  <c r="D77" i="2"/>
  <c r="D70" i="2"/>
  <c r="D83" i="2"/>
  <c r="D16" i="2"/>
  <c r="D80" i="2"/>
  <c r="D57" i="2"/>
  <c r="D30" i="2"/>
  <c r="D63" i="2"/>
  <c r="D12" i="2"/>
  <c r="D13" i="2"/>
  <c r="D6" i="2"/>
  <c r="D90" i="2"/>
  <c r="D55" i="2"/>
  <c r="D32" i="2"/>
  <c r="D9" i="2"/>
  <c r="D73" i="2"/>
  <c r="D46" i="2"/>
  <c r="D67" i="2"/>
  <c r="D36" i="2"/>
  <c r="D33" i="2"/>
  <c r="D26" i="2"/>
  <c r="D31" i="2"/>
  <c r="D27" i="2"/>
  <c r="D48" i="2"/>
  <c r="D25" i="2"/>
  <c r="D89" i="2"/>
  <c r="E65" i="2"/>
  <c r="E79" i="2"/>
  <c r="E31" i="2"/>
  <c r="E55" i="2"/>
  <c r="E56" i="2"/>
  <c r="E13" i="2"/>
  <c r="E69" i="2"/>
  <c r="E41" i="2"/>
  <c r="E40" i="2"/>
  <c r="E66" i="2"/>
  <c r="E11" i="2"/>
  <c r="E32" i="2"/>
  <c r="E33" i="2"/>
  <c r="E30" i="2"/>
  <c r="E83" i="2"/>
  <c r="E7" i="2"/>
  <c r="E63" i="2"/>
  <c r="E81" i="2"/>
  <c r="E15" i="2"/>
  <c r="E68" i="2"/>
  <c r="E70" i="2"/>
  <c r="E47" i="2"/>
  <c r="E60" i="2"/>
  <c r="E34" i="2"/>
  <c r="E37" i="2"/>
  <c r="E59" i="2"/>
  <c r="E72" i="2"/>
  <c r="E12" i="2"/>
  <c r="E38" i="2"/>
  <c r="E51" i="2"/>
  <c r="E85" i="2"/>
  <c r="E57" i="2"/>
  <c r="E74" i="2"/>
  <c r="E3" i="2"/>
  <c r="E44" i="2"/>
  <c r="E9" i="2"/>
  <c r="E52" i="2"/>
  <c r="E29" i="2"/>
  <c r="E76" i="2"/>
  <c r="E28" i="2"/>
  <c r="E22" i="2"/>
  <c r="E45" i="2"/>
  <c r="E8" i="2"/>
  <c r="E6" i="2"/>
  <c r="E90" i="2"/>
  <c r="E23" i="2"/>
  <c r="E20" i="2"/>
  <c r="E73" i="2"/>
  <c r="E50" i="2"/>
  <c r="E21" i="2"/>
  <c r="E27" i="2"/>
  <c r="E91" i="2"/>
  <c r="E64" i="2"/>
  <c r="D74" i="2"/>
  <c r="D42" i="2"/>
  <c r="D18" i="2"/>
  <c r="D81" i="2"/>
  <c r="D49" i="2"/>
  <c r="D21" i="2"/>
  <c r="D84" i="2"/>
  <c r="D52" i="2"/>
  <c r="D24" i="2"/>
  <c r="D75" i="2"/>
  <c r="D39" i="2"/>
  <c r="D35" i="2"/>
  <c r="D66" i="2"/>
  <c r="D38" i="2"/>
  <c r="D10" i="2"/>
  <c r="D69" i="2"/>
  <c r="D45" i="2"/>
  <c r="D17" i="2"/>
  <c r="D72" i="2"/>
  <c r="D44" i="2"/>
  <c r="D20" i="2"/>
  <c r="D43" i="2"/>
  <c r="D23" i="2"/>
  <c r="D79" i="2"/>
  <c r="D86" i="2"/>
  <c r="D58" i="2"/>
  <c r="D34" i="2"/>
  <c r="D3" i="2"/>
  <c r="D65" i="2"/>
  <c r="D37" i="2"/>
  <c r="D5" i="2"/>
  <c r="D68" i="2"/>
  <c r="D40" i="2"/>
  <c r="D8" i="2"/>
  <c r="D11" i="2"/>
  <c r="D7" i="2"/>
  <c r="D47" i="2"/>
  <c r="D82" i="2"/>
  <c r="D54" i="2"/>
  <c r="D22" i="2"/>
  <c r="D85" i="2"/>
  <c r="D61" i="2"/>
  <c r="D29" i="2"/>
  <c r="D88" i="2"/>
  <c r="D60" i="2"/>
  <c r="D28" i="2"/>
  <c r="D4" i="2"/>
  <c r="D87" i="2"/>
  <c r="D51" i="2"/>
  <c r="D15" i="2"/>
  <c r="C81" i="2"/>
  <c r="C65" i="2"/>
  <c r="C49" i="2"/>
  <c r="C33" i="2"/>
  <c r="C17" i="2"/>
  <c r="C88" i="2"/>
  <c r="C72" i="2"/>
  <c r="C56" i="2"/>
  <c r="C40" i="2"/>
  <c r="C24" i="2"/>
  <c r="C8" i="2"/>
  <c r="C82" i="2"/>
  <c r="C66" i="2"/>
  <c r="C50" i="2"/>
  <c r="C34" i="2"/>
  <c r="C18" i="2"/>
  <c r="C91" i="2"/>
  <c r="C89" i="2"/>
  <c r="C73" i="2"/>
  <c r="C57" i="2"/>
  <c r="C41" i="2"/>
  <c r="C25" i="2"/>
  <c r="C9" i="2"/>
  <c r="C80" i="2"/>
  <c r="C64" i="2"/>
  <c r="C48" i="2"/>
  <c r="C32" i="2"/>
  <c r="C16" i="2"/>
  <c r="C90" i="2"/>
  <c r="C74" i="2"/>
  <c r="C58" i="2"/>
  <c r="C42" i="2"/>
  <c r="C26" i="2"/>
  <c r="C10" i="2"/>
  <c r="C83" i="2"/>
  <c r="C67" i="2"/>
  <c r="C51" i="2"/>
  <c r="C35" i="2"/>
  <c r="C19" i="2"/>
  <c r="C3" i="2"/>
  <c r="C77" i="2"/>
  <c r="C45" i="2"/>
  <c r="C13" i="2"/>
  <c r="C68" i="2"/>
  <c r="C36" i="2"/>
  <c r="C4" i="2"/>
  <c r="C62" i="2"/>
  <c r="C30" i="2"/>
  <c r="C87" i="2"/>
  <c r="C63" i="2"/>
  <c r="C43" i="2"/>
  <c r="C23" i="2"/>
  <c r="C61" i="2"/>
  <c r="C21" i="2"/>
  <c r="C60" i="2"/>
  <c r="C20" i="2"/>
  <c r="C70" i="2"/>
  <c r="C22" i="2"/>
  <c r="C75" i="2"/>
  <c r="C47" i="2"/>
  <c r="C15" i="2"/>
  <c r="C53" i="2"/>
  <c r="C5" i="2"/>
  <c r="C52" i="2"/>
  <c r="C12" i="2"/>
  <c r="C54" i="2"/>
  <c r="C14" i="2"/>
  <c r="C71" i="2"/>
  <c r="C39" i="2"/>
  <c r="C11" i="2"/>
  <c r="C69" i="2"/>
  <c r="C76" i="2"/>
  <c r="C78" i="2"/>
  <c r="C79" i="2"/>
  <c r="C27" i="2"/>
  <c r="C29" i="2"/>
  <c r="C28" i="2"/>
  <c r="C38" i="2"/>
  <c r="C55" i="2"/>
  <c r="C85" i="2"/>
  <c r="C84" i="2"/>
  <c r="C86" i="2"/>
  <c r="C6" i="2"/>
  <c r="C31" i="2"/>
  <c r="C46" i="2"/>
  <c r="C59" i="2"/>
  <c r="C7" i="2"/>
  <c r="C37" i="2"/>
  <c r="C44" i="2"/>
  <c r="D7" i="3"/>
  <c r="E7" i="3"/>
  <c r="E94" i="2" l="1"/>
  <c r="D94" i="2"/>
  <c r="F61" i="2"/>
  <c r="F53" i="2"/>
  <c r="F57" i="2"/>
  <c r="F85" i="2"/>
  <c r="F65" i="2"/>
  <c r="F81" i="2"/>
  <c r="F44" i="2"/>
  <c r="F55" i="2"/>
  <c r="F88" i="2"/>
  <c r="F66" i="2"/>
  <c r="F32" i="2"/>
  <c r="F47" i="2"/>
  <c r="F76" i="2"/>
  <c r="F58" i="2"/>
  <c r="F36" i="2"/>
  <c r="F13" i="2"/>
  <c r="F41" i="2"/>
  <c r="F37" i="2"/>
  <c r="F49" i="2"/>
  <c r="F7" i="2"/>
  <c r="F87" i="2"/>
  <c r="F50" i="2"/>
  <c r="F60" i="2"/>
  <c r="F79" i="2"/>
  <c r="F42" i="2"/>
  <c r="F3" i="2"/>
  <c r="F80" i="2"/>
  <c r="F16" i="2"/>
  <c r="F11" i="2"/>
  <c r="F75" i="2"/>
  <c r="F22" i="2"/>
  <c r="F86" i="2"/>
  <c r="F84" i="2"/>
  <c r="F21" i="2"/>
  <c r="F9" i="2"/>
  <c r="F17" i="2"/>
  <c r="F23" i="2"/>
  <c r="F18" i="2"/>
  <c r="F4" i="2"/>
  <c r="F68" i="2"/>
  <c r="F90" i="2"/>
  <c r="F83" i="2"/>
  <c r="F56" i="2"/>
  <c r="F43" i="2"/>
  <c r="F6" i="2"/>
  <c r="F40" i="2"/>
  <c r="F62" i="2"/>
  <c r="F89" i="2"/>
  <c r="F5" i="2"/>
  <c r="F20" i="2"/>
  <c r="F34" i="2"/>
  <c r="F31" i="2"/>
  <c r="F74" i="2"/>
  <c r="F30" i="2"/>
  <c r="F52" i="2"/>
  <c r="F72" i="2"/>
  <c r="F35" i="2"/>
  <c r="F45" i="2"/>
  <c r="F25" i="2"/>
  <c r="F8" i="2"/>
  <c r="F71" i="2"/>
  <c r="F28" i="2"/>
  <c r="F10" i="2"/>
  <c r="F19" i="2"/>
  <c r="F78" i="2"/>
  <c r="F59" i="2"/>
  <c r="F54" i="2"/>
  <c r="F14" i="2"/>
  <c r="F29" i="2"/>
  <c r="F69" i="2"/>
  <c r="F48" i="2"/>
  <c r="F64" i="2"/>
  <c r="F15" i="2"/>
  <c r="F26" i="2"/>
  <c r="F51" i="2"/>
  <c r="F24" i="2"/>
  <c r="F91" i="2"/>
  <c r="F70" i="2"/>
  <c r="F39" i="2"/>
  <c r="F46" i="2"/>
  <c r="F77" i="2"/>
  <c r="F82" i="2"/>
  <c r="F27" i="2"/>
  <c r="F12" i="2"/>
  <c r="F73" i="2"/>
  <c r="F38" i="2"/>
  <c r="F33" i="2"/>
  <c r="F67" i="2"/>
  <c r="F63" i="2"/>
  <c r="C94" i="2"/>
  <c r="I63" i="2" l="1"/>
  <c r="H63" i="2"/>
  <c r="J63" i="2"/>
  <c r="K63" i="2"/>
  <c r="I73" i="2"/>
  <c r="H73" i="2"/>
  <c r="K73" i="2"/>
  <c r="J73" i="2"/>
  <c r="I77" i="2"/>
  <c r="J77" i="2"/>
  <c r="H77" i="2"/>
  <c r="K77" i="2"/>
  <c r="K91" i="2"/>
  <c r="I91" i="2"/>
  <c r="H91" i="2"/>
  <c r="J91" i="2"/>
  <c r="I15" i="2"/>
  <c r="H15" i="2"/>
  <c r="K15" i="2"/>
  <c r="J15" i="2"/>
  <c r="I29" i="2"/>
  <c r="K29" i="2"/>
  <c r="H29" i="2"/>
  <c r="J29" i="2"/>
  <c r="I78" i="2"/>
  <c r="J78" i="2"/>
  <c r="H78" i="2"/>
  <c r="K78" i="2"/>
  <c r="I71" i="2"/>
  <c r="H71" i="2"/>
  <c r="J71" i="2"/>
  <c r="K71" i="2"/>
  <c r="I35" i="2"/>
  <c r="K35" i="2"/>
  <c r="J35" i="2"/>
  <c r="H35" i="2"/>
  <c r="I74" i="2"/>
  <c r="K74" i="2"/>
  <c r="H74" i="2"/>
  <c r="J74" i="2"/>
  <c r="I5" i="2"/>
  <c r="J5" i="2"/>
  <c r="K5" i="2"/>
  <c r="H5" i="2"/>
  <c r="I6" i="2"/>
  <c r="K6" i="2"/>
  <c r="H6" i="2"/>
  <c r="J6" i="2"/>
  <c r="J90" i="2"/>
  <c r="H90" i="2"/>
  <c r="K90" i="2"/>
  <c r="I90" i="2"/>
  <c r="I23" i="2"/>
  <c r="K23" i="2"/>
  <c r="J23" i="2"/>
  <c r="H23" i="2"/>
  <c r="I84" i="2"/>
  <c r="J84" i="2"/>
  <c r="H84" i="2"/>
  <c r="K84" i="2"/>
  <c r="H11" i="2"/>
  <c r="K11" i="2"/>
  <c r="J11" i="2"/>
  <c r="I11" i="2"/>
  <c r="I42" i="2"/>
  <c r="H42" i="2"/>
  <c r="J42" i="2"/>
  <c r="K42" i="2"/>
  <c r="K87" i="2"/>
  <c r="J87" i="2"/>
  <c r="H87" i="2"/>
  <c r="I87" i="2"/>
  <c r="I41" i="2"/>
  <c r="J41" i="2"/>
  <c r="H41" i="2"/>
  <c r="K41" i="2"/>
  <c r="I76" i="2"/>
  <c r="J76" i="2"/>
  <c r="K76" i="2"/>
  <c r="H76" i="2"/>
  <c r="K88" i="2"/>
  <c r="H88" i="2"/>
  <c r="J88" i="2"/>
  <c r="I88" i="2"/>
  <c r="I65" i="2"/>
  <c r="J65" i="2"/>
  <c r="K65" i="2"/>
  <c r="H65" i="2"/>
  <c r="I61" i="2"/>
  <c r="J61" i="2"/>
  <c r="H61" i="2"/>
  <c r="K61" i="2"/>
  <c r="I67" i="2"/>
  <c r="J67" i="2"/>
  <c r="H67" i="2"/>
  <c r="K67" i="2"/>
  <c r="I12" i="2"/>
  <c r="K12" i="2"/>
  <c r="J12" i="2"/>
  <c r="H12" i="2"/>
  <c r="I46" i="2"/>
  <c r="J46" i="2"/>
  <c r="H46" i="2"/>
  <c r="K46" i="2"/>
  <c r="I24" i="2"/>
  <c r="K24" i="2"/>
  <c r="H24" i="2"/>
  <c r="J24" i="2"/>
  <c r="I64" i="2"/>
  <c r="J64" i="2"/>
  <c r="H64" i="2"/>
  <c r="K64" i="2"/>
  <c r="I14" i="2"/>
  <c r="J14" i="2"/>
  <c r="H14" i="2"/>
  <c r="K14" i="2"/>
  <c r="I19" i="2"/>
  <c r="H19" i="2"/>
  <c r="K19" i="2"/>
  <c r="J19" i="2"/>
  <c r="I8" i="2"/>
  <c r="H8" i="2"/>
  <c r="J8" i="2"/>
  <c r="K8" i="2"/>
  <c r="I72" i="2"/>
  <c r="K72" i="2"/>
  <c r="H72" i="2"/>
  <c r="J72" i="2"/>
  <c r="I31" i="2"/>
  <c r="H31" i="2"/>
  <c r="J31" i="2"/>
  <c r="K31" i="2"/>
  <c r="K89" i="2"/>
  <c r="J89" i="2"/>
  <c r="I89" i="2"/>
  <c r="H89" i="2"/>
  <c r="I43" i="2"/>
  <c r="H43" i="2"/>
  <c r="K43" i="2"/>
  <c r="J43" i="2"/>
  <c r="I68" i="2"/>
  <c r="J68" i="2"/>
  <c r="K68" i="2"/>
  <c r="H68" i="2"/>
  <c r="K17" i="2"/>
  <c r="H17" i="2"/>
  <c r="J17" i="2"/>
  <c r="I17" i="2"/>
  <c r="J86" i="2"/>
  <c r="H86" i="2"/>
  <c r="I86" i="2"/>
  <c r="K86" i="2"/>
  <c r="I16" i="2"/>
  <c r="K16" i="2"/>
  <c r="J16" i="2"/>
  <c r="H16" i="2"/>
  <c r="H79" i="2"/>
  <c r="I79" i="2"/>
  <c r="J79" i="2"/>
  <c r="K79" i="2"/>
  <c r="I7" i="2"/>
  <c r="J7" i="2"/>
  <c r="H7" i="2"/>
  <c r="K7" i="2"/>
  <c r="I13" i="2"/>
  <c r="H13" i="2"/>
  <c r="K13" i="2"/>
  <c r="J13" i="2"/>
  <c r="I47" i="2"/>
  <c r="K47" i="2"/>
  <c r="H47" i="2"/>
  <c r="J47" i="2"/>
  <c r="I55" i="2"/>
  <c r="H55" i="2"/>
  <c r="J55" i="2"/>
  <c r="K55" i="2"/>
  <c r="K85" i="2"/>
  <c r="I85" i="2"/>
  <c r="H85" i="2"/>
  <c r="J85" i="2"/>
  <c r="I33" i="2"/>
  <c r="H33" i="2"/>
  <c r="J33" i="2"/>
  <c r="K33" i="2"/>
  <c r="H27" i="2"/>
  <c r="I27" i="2"/>
  <c r="K27" i="2"/>
  <c r="J27" i="2"/>
  <c r="I39" i="2"/>
  <c r="J39" i="2"/>
  <c r="K39" i="2"/>
  <c r="H39" i="2"/>
  <c r="I51" i="2"/>
  <c r="H51" i="2"/>
  <c r="J51" i="2"/>
  <c r="K51" i="2"/>
  <c r="I48" i="2"/>
  <c r="K48" i="2"/>
  <c r="J48" i="2"/>
  <c r="H48" i="2"/>
  <c r="I54" i="2"/>
  <c r="J54" i="2"/>
  <c r="K54" i="2"/>
  <c r="H54" i="2"/>
  <c r="I10" i="2"/>
  <c r="K10" i="2"/>
  <c r="H10" i="2"/>
  <c r="J10" i="2"/>
  <c r="I25" i="2"/>
  <c r="H25" i="2"/>
  <c r="J25" i="2"/>
  <c r="K25" i="2"/>
  <c r="I52" i="2"/>
  <c r="J52" i="2"/>
  <c r="H52" i="2"/>
  <c r="K52" i="2"/>
  <c r="K34" i="2"/>
  <c r="I34" i="2"/>
  <c r="J34" i="2"/>
  <c r="H34" i="2"/>
  <c r="I62" i="2"/>
  <c r="H62" i="2"/>
  <c r="J62" i="2"/>
  <c r="K62" i="2"/>
  <c r="I56" i="2"/>
  <c r="J56" i="2"/>
  <c r="K56" i="2"/>
  <c r="H56" i="2"/>
  <c r="I4" i="2"/>
  <c r="K4" i="2"/>
  <c r="H4" i="2"/>
  <c r="J4" i="2"/>
  <c r="I9" i="2"/>
  <c r="H9" i="2"/>
  <c r="K9" i="2"/>
  <c r="J9" i="2"/>
  <c r="I22" i="2"/>
  <c r="J22" i="2"/>
  <c r="K22" i="2"/>
  <c r="H22" i="2"/>
  <c r="I80" i="2"/>
  <c r="J80" i="2"/>
  <c r="K80" i="2"/>
  <c r="H80" i="2"/>
  <c r="I60" i="2"/>
  <c r="K60" i="2"/>
  <c r="H60" i="2"/>
  <c r="J60" i="2"/>
  <c r="I49" i="2"/>
  <c r="K49" i="2"/>
  <c r="J49" i="2"/>
  <c r="H49" i="2"/>
  <c r="I36" i="2"/>
  <c r="J36" i="2"/>
  <c r="K36" i="2"/>
  <c r="H36" i="2"/>
  <c r="I32" i="2"/>
  <c r="H32" i="2"/>
  <c r="K32" i="2"/>
  <c r="J32" i="2"/>
  <c r="I44" i="2"/>
  <c r="H44" i="2"/>
  <c r="J44" i="2"/>
  <c r="K44" i="2"/>
  <c r="I57" i="2"/>
  <c r="H57" i="2"/>
  <c r="K57" i="2"/>
  <c r="J57" i="2"/>
  <c r="I38" i="2"/>
  <c r="H38" i="2"/>
  <c r="J38" i="2"/>
  <c r="K38" i="2"/>
  <c r="I82" i="2"/>
  <c r="J82" i="2"/>
  <c r="H82" i="2"/>
  <c r="K82" i="2"/>
  <c r="I70" i="2"/>
  <c r="K70" i="2"/>
  <c r="J70" i="2"/>
  <c r="H70" i="2"/>
  <c r="I26" i="2"/>
  <c r="K26" i="2"/>
  <c r="H26" i="2"/>
  <c r="J26" i="2"/>
  <c r="I69" i="2"/>
  <c r="K69" i="2"/>
  <c r="J69" i="2"/>
  <c r="H69" i="2"/>
  <c r="I59" i="2"/>
  <c r="K59" i="2"/>
  <c r="H59" i="2"/>
  <c r="J59" i="2"/>
  <c r="I28" i="2"/>
  <c r="J28" i="2"/>
  <c r="K28" i="2"/>
  <c r="H28" i="2"/>
  <c r="I45" i="2"/>
  <c r="J45" i="2"/>
  <c r="K45" i="2"/>
  <c r="H45" i="2"/>
  <c r="K30" i="2"/>
  <c r="H30" i="2"/>
  <c r="I30" i="2"/>
  <c r="J30" i="2"/>
  <c r="I20" i="2"/>
  <c r="K20" i="2"/>
  <c r="J20" i="2"/>
  <c r="H20" i="2"/>
  <c r="H40" i="2"/>
  <c r="K40" i="2"/>
  <c r="I40" i="2"/>
  <c r="J40" i="2"/>
  <c r="I83" i="2"/>
  <c r="H83" i="2"/>
  <c r="J83" i="2"/>
  <c r="K83" i="2"/>
  <c r="I18" i="2"/>
  <c r="H18" i="2"/>
  <c r="J18" i="2"/>
  <c r="K18" i="2"/>
  <c r="I21" i="2"/>
  <c r="K21" i="2"/>
  <c r="H21" i="2"/>
  <c r="J21" i="2"/>
  <c r="I75" i="2"/>
  <c r="H75" i="2"/>
  <c r="J75" i="2"/>
  <c r="K75" i="2"/>
  <c r="H3" i="2"/>
  <c r="I3" i="2"/>
  <c r="K3" i="2"/>
  <c r="F94" i="2"/>
  <c r="J3" i="2"/>
  <c r="I50" i="2"/>
  <c r="K50" i="2"/>
  <c r="H50" i="2"/>
  <c r="J50" i="2"/>
  <c r="I37" i="2"/>
  <c r="J37" i="2"/>
  <c r="H37" i="2"/>
  <c r="K37" i="2"/>
  <c r="I58" i="2"/>
  <c r="K58" i="2"/>
  <c r="J58" i="2"/>
  <c r="H58" i="2"/>
  <c r="I66" i="2"/>
  <c r="K66" i="2"/>
  <c r="H66" i="2"/>
  <c r="J66" i="2"/>
  <c r="I81" i="2"/>
  <c r="K81" i="2"/>
  <c r="J81" i="2"/>
  <c r="H81" i="2"/>
  <c r="I53" i="2"/>
  <c r="K53" i="2"/>
  <c r="H53" i="2"/>
  <c r="J53" i="2"/>
  <c r="N17" i="2" l="1"/>
  <c r="Q17" i="2" s="1"/>
  <c r="M17" i="2"/>
  <c r="P17" i="2" s="1"/>
  <c r="N88" i="2"/>
  <c r="Q88" i="2" s="1"/>
  <c r="M88" i="2"/>
  <c r="P88" i="2" s="1"/>
  <c r="M87" i="2"/>
  <c r="P87" i="2" s="1"/>
  <c r="N87" i="2"/>
  <c r="Q87" i="2" s="1"/>
  <c r="M11" i="2"/>
  <c r="P11" i="2" s="1"/>
  <c r="N11" i="2"/>
  <c r="Q11" i="2" s="1"/>
  <c r="M90" i="2"/>
  <c r="P90" i="2" s="1"/>
  <c r="N90" i="2"/>
  <c r="Q90" i="2" s="1"/>
  <c r="N40" i="2"/>
  <c r="Q40" i="2" s="1"/>
  <c r="M40" i="2"/>
  <c r="P40" i="2" s="1"/>
  <c r="M30" i="2"/>
  <c r="P30" i="2" s="1"/>
  <c r="N30" i="2"/>
  <c r="Q30" i="2" s="1"/>
  <c r="N86" i="2"/>
  <c r="Q86" i="2" s="1"/>
  <c r="M86" i="2"/>
  <c r="P86" i="2" s="1"/>
  <c r="M89" i="2"/>
  <c r="P89" i="2" s="1"/>
  <c r="N89" i="2"/>
  <c r="Q89" i="2" s="1"/>
  <c r="M53" i="2"/>
  <c r="P53" i="2" s="1"/>
  <c r="N53" i="2"/>
  <c r="Q53" i="2" s="1"/>
  <c r="N81" i="2"/>
  <c r="Q81" i="2" s="1"/>
  <c r="M81" i="2"/>
  <c r="P81" i="2" s="1"/>
  <c r="M66" i="2"/>
  <c r="P66" i="2" s="1"/>
  <c r="N66" i="2"/>
  <c r="Q66" i="2" s="1"/>
  <c r="M58" i="2"/>
  <c r="P58" i="2" s="1"/>
  <c r="N58" i="2"/>
  <c r="Q58" i="2" s="1"/>
  <c r="M37" i="2"/>
  <c r="P37" i="2" s="1"/>
  <c r="N37" i="2"/>
  <c r="Q37" i="2" s="1"/>
  <c r="N50" i="2"/>
  <c r="Q50" i="2" s="1"/>
  <c r="M50" i="2"/>
  <c r="P50" i="2" s="1"/>
  <c r="N3" i="2"/>
  <c r="M3" i="2"/>
  <c r="P3" i="2" s="1"/>
  <c r="M34" i="2"/>
  <c r="P34" i="2" s="1"/>
  <c r="N34" i="2"/>
  <c r="Q34" i="2" s="1"/>
  <c r="M27" i="2"/>
  <c r="P27" i="2" s="1"/>
  <c r="N27" i="2"/>
  <c r="Q27" i="2" s="1"/>
  <c r="M85" i="2"/>
  <c r="P85" i="2" s="1"/>
  <c r="N85" i="2"/>
  <c r="Q85" i="2" s="1"/>
  <c r="N79" i="2"/>
  <c r="Q79" i="2" s="1"/>
  <c r="M79" i="2"/>
  <c r="P79" i="2" s="1"/>
  <c r="M91" i="2"/>
  <c r="P91" i="2" s="1"/>
  <c r="N91" i="2"/>
  <c r="Q91" i="2" s="1"/>
  <c r="M75" i="2"/>
  <c r="P75" i="2" s="1"/>
  <c r="N75" i="2"/>
  <c r="Q75" i="2" s="1"/>
  <c r="M21" i="2"/>
  <c r="P21" i="2" s="1"/>
  <c r="N21" i="2"/>
  <c r="Q21" i="2" s="1"/>
  <c r="M18" i="2"/>
  <c r="P18" i="2" s="1"/>
  <c r="N18" i="2"/>
  <c r="Q18" i="2" s="1"/>
  <c r="N83" i="2"/>
  <c r="Q83" i="2" s="1"/>
  <c r="M83" i="2"/>
  <c r="P83" i="2" s="1"/>
  <c r="N20" i="2"/>
  <c r="Q20" i="2" s="1"/>
  <c r="M20" i="2"/>
  <c r="P20" i="2" s="1"/>
  <c r="N45" i="2"/>
  <c r="Q45" i="2" s="1"/>
  <c r="M45" i="2"/>
  <c r="P45" i="2" s="1"/>
  <c r="N28" i="2"/>
  <c r="Q28" i="2" s="1"/>
  <c r="M28" i="2"/>
  <c r="P28" i="2" s="1"/>
  <c r="N59" i="2"/>
  <c r="Q59" i="2" s="1"/>
  <c r="M59" i="2"/>
  <c r="P59" i="2" s="1"/>
  <c r="M69" i="2"/>
  <c r="P69" i="2" s="1"/>
  <c r="N69" i="2"/>
  <c r="Q69" i="2" s="1"/>
  <c r="M26" i="2"/>
  <c r="P26" i="2" s="1"/>
  <c r="N26" i="2"/>
  <c r="Q26" i="2" s="1"/>
  <c r="M70" i="2"/>
  <c r="P70" i="2" s="1"/>
  <c r="N70" i="2"/>
  <c r="Q70" i="2" s="1"/>
  <c r="M82" i="2"/>
  <c r="P82" i="2" s="1"/>
  <c r="N82" i="2"/>
  <c r="Q82" i="2" s="1"/>
  <c r="M38" i="2"/>
  <c r="P38" i="2" s="1"/>
  <c r="N38" i="2"/>
  <c r="Q38" i="2" s="1"/>
  <c r="N57" i="2"/>
  <c r="Q57" i="2" s="1"/>
  <c r="M57" i="2"/>
  <c r="P57" i="2" s="1"/>
  <c r="N44" i="2"/>
  <c r="Q44" i="2" s="1"/>
  <c r="M44" i="2"/>
  <c r="P44" i="2" s="1"/>
  <c r="N32" i="2"/>
  <c r="Q32" i="2" s="1"/>
  <c r="M32" i="2"/>
  <c r="P32" i="2" s="1"/>
  <c r="M36" i="2"/>
  <c r="P36" i="2" s="1"/>
  <c r="N36" i="2"/>
  <c r="Q36" i="2" s="1"/>
  <c r="M49" i="2"/>
  <c r="P49" i="2" s="1"/>
  <c r="N49" i="2"/>
  <c r="Q49" i="2" s="1"/>
  <c r="M60" i="2"/>
  <c r="P60" i="2" s="1"/>
  <c r="N60" i="2"/>
  <c r="Q60" i="2" s="1"/>
  <c r="N80" i="2"/>
  <c r="Q80" i="2" s="1"/>
  <c r="M80" i="2"/>
  <c r="P80" i="2" s="1"/>
  <c r="N22" i="2"/>
  <c r="Q22" i="2" s="1"/>
  <c r="M22" i="2"/>
  <c r="P22" i="2" s="1"/>
  <c r="M9" i="2"/>
  <c r="P9" i="2" s="1"/>
  <c r="N9" i="2"/>
  <c r="Q9" i="2" s="1"/>
  <c r="N4" i="2"/>
  <c r="Q4" i="2" s="1"/>
  <c r="M4" i="2"/>
  <c r="P4" i="2" s="1"/>
  <c r="N56" i="2"/>
  <c r="Q56" i="2" s="1"/>
  <c r="M56" i="2"/>
  <c r="P56" i="2" s="1"/>
  <c r="M62" i="2"/>
  <c r="P62" i="2" s="1"/>
  <c r="N62" i="2"/>
  <c r="Q62" i="2" s="1"/>
  <c r="N52" i="2"/>
  <c r="Q52" i="2" s="1"/>
  <c r="M52" i="2"/>
  <c r="P52" i="2" s="1"/>
  <c r="M25" i="2"/>
  <c r="P25" i="2" s="1"/>
  <c r="N25" i="2"/>
  <c r="Q25" i="2" s="1"/>
  <c r="M10" i="2"/>
  <c r="P10" i="2" s="1"/>
  <c r="N10" i="2"/>
  <c r="Q10" i="2" s="1"/>
  <c r="M54" i="2"/>
  <c r="P54" i="2" s="1"/>
  <c r="N54" i="2"/>
  <c r="Q54" i="2" s="1"/>
  <c r="N48" i="2"/>
  <c r="Q48" i="2" s="1"/>
  <c r="M48" i="2"/>
  <c r="P48" i="2" s="1"/>
  <c r="N51" i="2"/>
  <c r="Q51" i="2" s="1"/>
  <c r="M51" i="2"/>
  <c r="P51" i="2" s="1"/>
  <c r="M39" i="2"/>
  <c r="P39" i="2" s="1"/>
  <c r="N39" i="2"/>
  <c r="Q39" i="2" s="1"/>
  <c r="M33" i="2"/>
  <c r="P33" i="2" s="1"/>
  <c r="N33" i="2"/>
  <c r="Q33" i="2" s="1"/>
  <c r="M55" i="2"/>
  <c r="P55" i="2" s="1"/>
  <c r="N55" i="2"/>
  <c r="Q55" i="2" s="1"/>
  <c r="M47" i="2"/>
  <c r="P47" i="2" s="1"/>
  <c r="N47" i="2"/>
  <c r="Q47" i="2" s="1"/>
  <c r="M13" i="2"/>
  <c r="P13" i="2" s="1"/>
  <c r="N13" i="2"/>
  <c r="Q13" i="2" s="1"/>
  <c r="N7" i="2"/>
  <c r="Q7" i="2" s="1"/>
  <c r="M7" i="2"/>
  <c r="P7" i="2" s="1"/>
  <c r="N16" i="2"/>
  <c r="Q16" i="2" s="1"/>
  <c r="M16" i="2"/>
  <c r="P16" i="2" s="1"/>
  <c r="N68" i="2"/>
  <c r="Q68" i="2" s="1"/>
  <c r="M68" i="2"/>
  <c r="P68" i="2" s="1"/>
  <c r="M43" i="2"/>
  <c r="P43" i="2" s="1"/>
  <c r="N43" i="2"/>
  <c r="Q43" i="2" s="1"/>
  <c r="M31" i="2"/>
  <c r="P31" i="2" s="1"/>
  <c r="N31" i="2"/>
  <c r="Q31" i="2" s="1"/>
  <c r="N72" i="2"/>
  <c r="Q72" i="2" s="1"/>
  <c r="M72" i="2"/>
  <c r="P72" i="2" s="1"/>
  <c r="N8" i="2"/>
  <c r="Q8" i="2" s="1"/>
  <c r="M8" i="2"/>
  <c r="P8" i="2" s="1"/>
  <c r="N19" i="2"/>
  <c r="Q19" i="2" s="1"/>
  <c r="M19" i="2"/>
  <c r="P19" i="2" s="1"/>
  <c r="M14" i="2"/>
  <c r="P14" i="2" s="1"/>
  <c r="N14" i="2"/>
  <c r="Q14" i="2" s="1"/>
  <c r="M64" i="2"/>
  <c r="P64" i="2" s="1"/>
  <c r="N64" i="2"/>
  <c r="Q64" i="2" s="1"/>
  <c r="M24" i="2"/>
  <c r="P24" i="2" s="1"/>
  <c r="N24" i="2"/>
  <c r="Q24" i="2" s="1"/>
  <c r="M46" i="2"/>
  <c r="P46" i="2" s="1"/>
  <c r="N46" i="2"/>
  <c r="Q46" i="2" s="1"/>
  <c r="N12" i="2"/>
  <c r="Q12" i="2" s="1"/>
  <c r="M12" i="2"/>
  <c r="P12" i="2" s="1"/>
  <c r="M67" i="2"/>
  <c r="P67" i="2" s="1"/>
  <c r="N67" i="2"/>
  <c r="Q67" i="2" s="1"/>
  <c r="M61" i="2"/>
  <c r="P61" i="2" s="1"/>
  <c r="N61" i="2"/>
  <c r="Q61" i="2" s="1"/>
  <c r="M65" i="2"/>
  <c r="P65" i="2" s="1"/>
  <c r="N65" i="2"/>
  <c r="Q65" i="2" s="1"/>
  <c r="M76" i="2"/>
  <c r="P76" i="2" s="1"/>
  <c r="N76" i="2"/>
  <c r="Q76" i="2" s="1"/>
  <c r="M41" i="2"/>
  <c r="P41" i="2" s="1"/>
  <c r="N41" i="2"/>
  <c r="Q41" i="2" s="1"/>
  <c r="M42" i="2"/>
  <c r="P42" i="2" s="1"/>
  <c r="N42" i="2"/>
  <c r="Q42" i="2" s="1"/>
  <c r="N84" i="2"/>
  <c r="Q84" i="2" s="1"/>
  <c r="M84" i="2"/>
  <c r="P84" i="2" s="1"/>
  <c r="M23" i="2"/>
  <c r="P23" i="2" s="1"/>
  <c r="N23" i="2"/>
  <c r="Q23" i="2" s="1"/>
  <c r="M6" i="2"/>
  <c r="P6" i="2" s="1"/>
  <c r="N6" i="2"/>
  <c r="Q6" i="2" s="1"/>
  <c r="M5" i="2"/>
  <c r="P5" i="2" s="1"/>
  <c r="N5" i="2"/>
  <c r="Q5" i="2" s="1"/>
  <c r="M74" i="2"/>
  <c r="P74" i="2" s="1"/>
  <c r="N74" i="2"/>
  <c r="Q74" i="2" s="1"/>
  <c r="M35" i="2"/>
  <c r="P35" i="2" s="1"/>
  <c r="N35" i="2"/>
  <c r="Q35" i="2" s="1"/>
  <c r="N71" i="2"/>
  <c r="Q71" i="2" s="1"/>
  <c r="M71" i="2"/>
  <c r="P71" i="2" s="1"/>
  <c r="M78" i="2"/>
  <c r="P78" i="2" s="1"/>
  <c r="N78" i="2"/>
  <c r="Q78" i="2" s="1"/>
  <c r="N29" i="2"/>
  <c r="Q29" i="2" s="1"/>
  <c r="M29" i="2"/>
  <c r="P29" i="2" s="1"/>
  <c r="N15" i="2"/>
  <c r="Q15" i="2" s="1"/>
  <c r="M15" i="2"/>
  <c r="P15" i="2" s="1"/>
  <c r="M77" i="2"/>
  <c r="P77" i="2" s="1"/>
  <c r="N77" i="2"/>
  <c r="Q77" i="2" s="1"/>
  <c r="N73" i="2"/>
  <c r="Q73" i="2" s="1"/>
  <c r="M73" i="2"/>
  <c r="P73" i="2" s="1"/>
  <c r="N63" i="2"/>
  <c r="Q63" i="2" s="1"/>
  <c r="M63" i="2"/>
  <c r="P63" i="2" s="1"/>
  <c r="AR77" i="2" l="1"/>
  <c r="S77" i="2"/>
  <c r="AB77" i="2" s="1"/>
  <c r="T35" i="2"/>
  <c r="AS35" i="2"/>
  <c r="S84" i="2"/>
  <c r="AB84" i="2" s="1"/>
  <c r="AR84" i="2"/>
  <c r="AS24" i="2"/>
  <c r="T24" i="2"/>
  <c r="AS7" i="2"/>
  <c r="T7" i="2"/>
  <c r="AR39" i="2"/>
  <c r="S39" i="2"/>
  <c r="AB39" i="2" s="1"/>
  <c r="T10" i="2"/>
  <c r="AS10" i="2"/>
  <c r="S56" i="2"/>
  <c r="AB56" i="2" s="1"/>
  <c r="AR56" i="2"/>
  <c r="T4" i="2"/>
  <c r="AS4" i="2"/>
  <c r="AS49" i="2"/>
  <c r="T49" i="2"/>
  <c r="AS44" i="2"/>
  <c r="T44" i="2"/>
  <c r="AR59" i="2"/>
  <c r="S59" i="2"/>
  <c r="T18" i="2"/>
  <c r="AS18" i="2"/>
  <c r="T85" i="2"/>
  <c r="AS85" i="2"/>
  <c r="AR37" i="2"/>
  <c r="S37" i="2"/>
  <c r="AB37" i="2" s="1"/>
  <c r="T11" i="2"/>
  <c r="AS11" i="2"/>
  <c r="AR29" i="2"/>
  <c r="S29" i="2"/>
  <c r="AR5" i="2"/>
  <c r="S5" i="2"/>
  <c r="AB5" i="2" s="1"/>
  <c r="AS23" i="2"/>
  <c r="T23" i="2"/>
  <c r="AR67" i="2"/>
  <c r="S67" i="2"/>
  <c r="AB67" i="2" s="1"/>
  <c r="S24" i="2"/>
  <c r="AB24" i="2" s="1"/>
  <c r="AR24" i="2"/>
  <c r="T14" i="2"/>
  <c r="AS14" i="2"/>
  <c r="AR31" i="2"/>
  <c r="S31" i="2"/>
  <c r="AB31" i="2" s="1"/>
  <c r="S16" i="2"/>
  <c r="AB16" i="2" s="1"/>
  <c r="AR16" i="2"/>
  <c r="T48" i="2"/>
  <c r="AS48" i="2"/>
  <c r="AS52" i="2"/>
  <c r="T52" i="2"/>
  <c r="T22" i="2"/>
  <c r="AS22" i="2"/>
  <c r="AR49" i="2"/>
  <c r="S49" i="2"/>
  <c r="AB49" i="2" s="1"/>
  <c r="AR32" i="2"/>
  <c r="S32" i="2"/>
  <c r="AB32" i="2" s="1"/>
  <c r="AR70" i="2"/>
  <c r="S70" i="2"/>
  <c r="AB70" i="2" s="1"/>
  <c r="T45" i="2"/>
  <c r="AS45" i="2"/>
  <c r="T91" i="2"/>
  <c r="AS91" i="2"/>
  <c r="AR85" i="2"/>
  <c r="S85" i="2"/>
  <c r="AB85" i="2" s="1"/>
  <c r="S66" i="2"/>
  <c r="AR66" i="2"/>
  <c r="T73" i="2"/>
  <c r="AS73" i="2"/>
  <c r="T29" i="2"/>
  <c r="AS29" i="2"/>
  <c r="T74" i="2"/>
  <c r="AS74" i="2"/>
  <c r="AR23" i="2"/>
  <c r="S23" i="2"/>
  <c r="AB23" i="2" s="1"/>
  <c r="AR41" i="2"/>
  <c r="S41" i="2"/>
  <c r="AB41" i="2" s="1"/>
  <c r="AR76" i="2"/>
  <c r="S76" i="2"/>
  <c r="AB76" i="2" s="1"/>
  <c r="AS61" i="2"/>
  <c r="T61" i="2"/>
  <c r="S14" i="2"/>
  <c r="AB14" i="2" s="1"/>
  <c r="AR14" i="2"/>
  <c r="S68" i="2"/>
  <c r="AB68" i="2" s="1"/>
  <c r="AR68" i="2"/>
  <c r="AS16" i="2"/>
  <c r="T16" i="2"/>
  <c r="T55" i="2"/>
  <c r="AS55" i="2"/>
  <c r="S33" i="2"/>
  <c r="AB33" i="2" s="1"/>
  <c r="AR33" i="2"/>
  <c r="AS54" i="2"/>
  <c r="T54" i="2"/>
  <c r="AS25" i="2"/>
  <c r="T25" i="2"/>
  <c r="AS62" i="2"/>
  <c r="T62" i="2"/>
  <c r="S60" i="2"/>
  <c r="AB60" i="2" s="1"/>
  <c r="AR60" i="2"/>
  <c r="AS32" i="2"/>
  <c r="T32" i="2"/>
  <c r="T82" i="2"/>
  <c r="AS82" i="2"/>
  <c r="AS69" i="2"/>
  <c r="T69" i="2"/>
  <c r="AR20" i="2"/>
  <c r="S20" i="2"/>
  <c r="AB20" i="2" s="1"/>
  <c r="AR83" i="2"/>
  <c r="S83" i="2"/>
  <c r="AB83" i="2" s="1"/>
  <c r="AS21" i="2"/>
  <c r="T21" i="2"/>
  <c r="AR79" i="2"/>
  <c r="S79" i="2"/>
  <c r="AB79" i="2" s="1"/>
  <c r="T27" i="2"/>
  <c r="AS27" i="2"/>
  <c r="AR81" i="2"/>
  <c r="S81" i="2"/>
  <c r="AB81" i="2" s="1"/>
  <c r="T89" i="2"/>
  <c r="AS89" i="2"/>
  <c r="AS30" i="2"/>
  <c r="T30" i="2"/>
  <c r="AS90" i="2"/>
  <c r="T90" i="2"/>
  <c r="T88" i="2"/>
  <c r="AS88" i="2"/>
  <c r="AR63" i="2"/>
  <c r="S63" i="2"/>
  <c r="AB63" i="2" s="1"/>
  <c r="T78" i="2"/>
  <c r="AS78" i="2"/>
  <c r="AR74" i="2"/>
  <c r="S74" i="2"/>
  <c r="AB74" i="2" s="1"/>
  <c r="AS6" i="2"/>
  <c r="T6" i="2"/>
  <c r="AS42" i="2"/>
  <c r="T42" i="2"/>
  <c r="AR12" i="2"/>
  <c r="S12" i="2"/>
  <c r="AB12" i="2" s="1"/>
  <c r="AR46" i="2"/>
  <c r="S46" i="2"/>
  <c r="AB46" i="2" s="1"/>
  <c r="AR19" i="2"/>
  <c r="S19" i="2"/>
  <c r="AB19" i="2" s="1"/>
  <c r="S8" i="2"/>
  <c r="AB8" i="2" s="1"/>
  <c r="AR8" i="2"/>
  <c r="AR7" i="2"/>
  <c r="S7" i="2"/>
  <c r="AB7" i="2" s="1"/>
  <c r="S13" i="2"/>
  <c r="AB13" i="2" s="1"/>
  <c r="AR13" i="2"/>
  <c r="AR55" i="2"/>
  <c r="S55" i="2"/>
  <c r="AB55" i="2" s="1"/>
  <c r="AS39" i="2"/>
  <c r="T39" i="2"/>
  <c r="AR25" i="2"/>
  <c r="S25" i="2"/>
  <c r="AB25" i="2" s="1"/>
  <c r="S4" i="2"/>
  <c r="AB4" i="2" s="1"/>
  <c r="AR4" i="2"/>
  <c r="T28" i="2"/>
  <c r="AS28" i="2"/>
  <c r="T83" i="2"/>
  <c r="AS83" i="2"/>
  <c r="S21" i="2"/>
  <c r="AB21" i="2" s="1"/>
  <c r="AR21" i="2"/>
  <c r="T79" i="2"/>
  <c r="AS79" i="2"/>
  <c r="AR27" i="2"/>
  <c r="S27" i="2"/>
  <c r="AB27" i="2" s="1"/>
  <c r="T37" i="2"/>
  <c r="AS37" i="2"/>
  <c r="AR30" i="2"/>
  <c r="S30" i="2"/>
  <c r="AB30" i="2" s="1"/>
  <c r="AR87" i="2"/>
  <c r="S87" i="2"/>
  <c r="AB87" i="2" s="1"/>
  <c r="T63" i="2"/>
  <c r="AS63" i="2"/>
  <c r="AR78" i="2"/>
  <c r="S78" i="2"/>
  <c r="AB78" i="2" s="1"/>
  <c r="S6" i="2"/>
  <c r="AB6" i="2" s="1"/>
  <c r="AR6" i="2"/>
  <c r="AR42" i="2"/>
  <c r="S42" i="2"/>
  <c r="AB42" i="2" s="1"/>
  <c r="T12" i="2"/>
  <c r="AS12" i="2"/>
  <c r="AS47" i="2"/>
  <c r="T47" i="2"/>
  <c r="AR48" i="2"/>
  <c r="S48" i="2"/>
  <c r="AB48" i="2" s="1"/>
  <c r="S52" i="2"/>
  <c r="AB52" i="2" s="1"/>
  <c r="AR52" i="2"/>
  <c r="AR22" i="2"/>
  <c r="S22" i="2"/>
  <c r="AB22" i="2" s="1"/>
  <c r="S36" i="2"/>
  <c r="AB36" i="2" s="1"/>
  <c r="AR36" i="2"/>
  <c r="T38" i="2"/>
  <c r="AS38" i="2"/>
  <c r="AR45" i="2"/>
  <c r="S45" i="2"/>
  <c r="AB45" i="2" s="1"/>
  <c r="AS75" i="2"/>
  <c r="T75" i="2"/>
  <c r="AR35" i="2"/>
  <c r="S35" i="2"/>
  <c r="AB35" i="2" s="1"/>
  <c r="AR65" i="2"/>
  <c r="S65" i="2"/>
  <c r="AB65" i="2" s="1"/>
  <c r="AR72" i="2"/>
  <c r="S72" i="2"/>
  <c r="AB72" i="2" s="1"/>
  <c r="AR47" i="2"/>
  <c r="S47" i="2"/>
  <c r="AB47" i="2" s="1"/>
  <c r="AR38" i="2"/>
  <c r="S38" i="2"/>
  <c r="AB38" i="2" s="1"/>
  <c r="AS59" i="2"/>
  <c r="T59" i="2"/>
  <c r="T58" i="2"/>
  <c r="AS58" i="2"/>
  <c r="T53" i="2"/>
  <c r="AS53" i="2"/>
  <c r="AS40" i="2"/>
  <c r="T40" i="2"/>
  <c r="AS77" i="2"/>
  <c r="T77" i="2"/>
  <c r="AS71" i="2"/>
  <c r="T71" i="2"/>
  <c r="AS84" i="2"/>
  <c r="T84" i="2"/>
  <c r="AS64" i="2"/>
  <c r="T64" i="2"/>
  <c r="T8" i="2"/>
  <c r="AS8" i="2"/>
  <c r="AS33" i="2"/>
  <c r="T33" i="2"/>
  <c r="AS51" i="2"/>
  <c r="T51" i="2"/>
  <c r="T80" i="2"/>
  <c r="AS80" i="2"/>
  <c r="T70" i="2"/>
  <c r="AS70" i="2"/>
  <c r="AR3" i="2"/>
  <c r="AR15" i="2"/>
  <c r="S15" i="2"/>
  <c r="AB15" i="2" s="1"/>
  <c r="AR43" i="2"/>
  <c r="S43" i="2"/>
  <c r="AB43" i="2" s="1"/>
  <c r="N94" i="2"/>
  <c r="AR10" i="2"/>
  <c r="S10" i="2"/>
  <c r="AB10" i="2" s="1"/>
  <c r="AR89" i="2"/>
  <c r="S89" i="2"/>
  <c r="AB89" i="2" s="1"/>
  <c r="AS17" i="2"/>
  <c r="T17" i="2"/>
  <c r="AR54" i="2"/>
  <c r="S54" i="2"/>
  <c r="AB54" i="2" s="1"/>
  <c r="AR80" i="2"/>
  <c r="S80" i="2"/>
  <c r="AB80" i="2" s="1"/>
  <c r="AR50" i="2"/>
  <c r="S50" i="2"/>
  <c r="AB50" i="2" s="1"/>
  <c r="AS5" i="2"/>
  <c r="T5" i="2"/>
  <c r="AS68" i="2"/>
  <c r="T68" i="2"/>
  <c r="AS9" i="2"/>
  <c r="T9" i="2"/>
  <c r="T26" i="2"/>
  <c r="AS26" i="2"/>
  <c r="AS20" i="2"/>
  <c r="T20" i="2"/>
  <c r="AR58" i="2"/>
  <c r="S58" i="2"/>
  <c r="AB58" i="2" s="1"/>
  <c r="AR71" i="2"/>
  <c r="S71" i="2"/>
  <c r="AB71" i="2" s="1"/>
  <c r="AR17" i="2"/>
  <c r="S17" i="2"/>
  <c r="AB17" i="2" s="1"/>
  <c r="T34" i="2"/>
  <c r="AS34" i="2"/>
  <c r="AR9" i="2"/>
  <c r="S9" i="2"/>
  <c r="AB9" i="2" s="1"/>
  <c r="S75" i="2"/>
  <c r="AB75" i="2" s="1"/>
  <c r="AR75" i="2"/>
  <c r="AR26" i="2"/>
  <c r="S26" i="2"/>
  <c r="AB26" i="2" s="1"/>
  <c r="T87" i="2"/>
  <c r="AS87" i="2"/>
  <c r="AR34" i="2"/>
  <c r="S34" i="2"/>
  <c r="AB34" i="2" s="1"/>
  <c r="AR28" i="2"/>
  <c r="S28" i="2"/>
  <c r="AB28" i="2" s="1"/>
  <c r="AR90" i="2"/>
  <c r="S90" i="2"/>
  <c r="AB90" i="2" s="1"/>
  <c r="AR86" i="2"/>
  <c r="S86" i="2"/>
  <c r="AB86" i="2" s="1"/>
  <c r="Q3" i="2"/>
  <c r="AS72" i="2"/>
  <c r="T72" i="2"/>
  <c r="T31" i="2"/>
  <c r="AS31" i="2"/>
  <c r="AS56" i="2"/>
  <c r="T56" i="2"/>
  <c r="AS60" i="2"/>
  <c r="T60" i="2"/>
  <c r="AS36" i="2"/>
  <c r="T36" i="2"/>
  <c r="AR73" i="2"/>
  <c r="S73" i="2"/>
  <c r="AB73" i="2" s="1"/>
  <c r="S88" i="2"/>
  <c r="AB88" i="2" s="1"/>
  <c r="AR88" i="2"/>
  <c r="S62" i="2"/>
  <c r="AB62" i="2" s="1"/>
  <c r="AR62" i="2"/>
  <c r="AR57" i="2"/>
  <c r="S57" i="2"/>
  <c r="AB57" i="2" s="1"/>
  <c r="AR18" i="2"/>
  <c r="S18" i="2"/>
  <c r="AB18" i="2" s="1"/>
  <c r="S91" i="2"/>
  <c r="AB91" i="2" s="1"/>
  <c r="AR91" i="2"/>
  <c r="AR61" i="2"/>
  <c r="S61" i="2"/>
  <c r="AB61" i="2" s="1"/>
  <c r="AR64" i="2"/>
  <c r="S64" i="2"/>
  <c r="AB64" i="2" s="1"/>
  <c r="AS86" i="2"/>
  <c r="T86" i="2"/>
  <c r="AR82" i="2"/>
  <c r="S82" i="2"/>
  <c r="AB82" i="2" s="1"/>
  <c r="AR69" i="2"/>
  <c r="S69" i="2"/>
  <c r="AB69" i="2" s="1"/>
  <c r="AS41" i="2"/>
  <c r="T41" i="2"/>
  <c r="T65" i="2"/>
  <c r="AS65" i="2"/>
  <c r="AS67" i="2"/>
  <c r="T67" i="2"/>
  <c r="T46" i="2"/>
  <c r="AS46" i="2"/>
  <c r="T43" i="2"/>
  <c r="AS43" i="2"/>
  <c r="AS15" i="2"/>
  <c r="T15" i="2"/>
  <c r="AR11" i="2"/>
  <c r="S11" i="2"/>
  <c r="AB11" i="2" s="1"/>
  <c r="AS76" i="2"/>
  <c r="T76" i="2"/>
  <c r="AS19" i="2"/>
  <c r="T19" i="2"/>
  <c r="AS13" i="2"/>
  <c r="T13" i="2"/>
  <c r="AS57" i="2"/>
  <c r="T57" i="2"/>
  <c r="S40" i="2"/>
  <c r="AB40" i="2" s="1"/>
  <c r="AR40" i="2"/>
  <c r="AR51" i="2"/>
  <c r="S51" i="2"/>
  <c r="AB51" i="2" s="1"/>
  <c r="AR44" i="2"/>
  <c r="S44" i="2"/>
  <c r="AB44" i="2" s="1"/>
  <c r="M94" i="2"/>
  <c r="T50" i="2"/>
  <c r="AS50" i="2"/>
  <c r="AS66" i="2"/>
  <c r="T66" i="2"/>
  <c r="T81" i="2"/>
  <c r="AS81" i="2"/>
  <c r="S53" i="2"/>
  <c r="AB53" i="2" s="1"/>
  <c r="AR53" i="2"/>
  <c r="AR93" i="2" l="1"/>
  <c r="T3" i="2"/>
  <c r="AS3" i="2"/>
  <c r="AS93" i="2" s="1"/>
  <c r="S3" i="2"/>
  <c r="AB3" i="2" s="1"/>
  <c r="AR94" i="2" l="1"/>
  <c r="C8" i="3" s="1"/>
  <c r="C9" i="3" s="1"/>
  <c r="D9" i="3" s="1"/>
  <c r="AS94" i="2"/>
  <c r="E8" i="3" l="1"/>
  <c r="E9" i="3" s="1"/>
  <c r="AD1" i="2" s="1"/>
  <c r="AE1" i="2" s="1"/>
  <c r="AC62" i="2" s="1"/>
  <c r="D8" i="3"/>
  <c r="AC89" i="2" l="1"/>
  <c r="AC41" i="2"/>
  <c r="AC75" i="2"/>
  <c r="AC74" i="2"/>
  <c r="AC16" i="2"/>
  <c r="AC68" i="2"/>
  <c r="AC31" i="2"/>
  <c r="AC57" i="2"/>
  <c r="AC73" i="2"/>
  <c r="AC21" i="2"/>
  <c r="AC79" i="2"/>
  <c r="AC49" i="2"/>
  <c r="AC18" i="2"/>
  <c r="AC86" i="2"/>
  <c r="AC55" i="2"/>
  <c r="AC78" i="2"/>
  <c r="AC80" i="2"/>
  <c r="AC17" i="2"/>
  <c r="AC12" i="2"/>
  <c r="AC11" i="2"/>
  <c r="AC42" i="2"/>
  <c r="AC8" i="2"/>
  <c r="AC54" i="2"/>
  <c r="AC83" i="2"/>
  <c r="AC67" i="2"/>
  <c r="AC44" i="2"/>
  <c r="AC50" i="2"/>
  <c r="AC30" i="2"/>
  <c r="AC20" i="2"/>
  <c r="AC53" i="2"/>
  <c r="AC58" i="2"/>
  <c r="AC48" i="2"/>
  <c r="AC72" i="2"/>
  <c r="AC3" i="2"/>
  <c r="AC90" i="2"/>
  <c r="AC25" i="2"/>
  <c r="AC5" i="2"/>
  <c r="AC38" i="2"/>
  <c r="AC36" i="2"/>
  <c r="AC9" i="2"/>
  <c r="AC27" i="2"/>
  <c r="AC76" i="2"/>
  <c r="AC14" i="2"/>
  <c r="AC91" i="2"/>
  <c r="AC47" i="2"/>
  <c r="AC87" i="2"/>
  <c r="AC4" i="2"/>
  <c r="AC34" i="2"/>
  <c r="AC82" i="2"/>
  <c r="AC60" i="2"/>
  <c r="AC24" i="2"/>
  <c r="AC37" i="2"/>
  <c r="AC22" i="2"/>
  <c r="AC23" i="2"/>
  <c r="AC69" i="2"/>
  <c r="AC71" i="2"/>
  <c r="AC88" i="2"/>
  <c r="AC65" i="2"/>
  <c r="AC46" i="2"/>
  <c r="AC28" i="2"/>
  <c r="AC32" i="2"/>
  <c r="AC64" i="2"/>
  <c r="AC43" i="2"/>
  <c r="AC10" i="2"/>
  <c r="AC77" i="2"/>
  <c r="AC70" i="2"/>
  <c r="AC52" i="2"/>
  <c r="AC19" i="2"/>
  <c r="AC51" i="2"/>
  <c r="AC45" i="2"/>
  <c r="AC13" i="2"/>
  <c r="AC26" i="2"/>
  <c r="AC7" i="2"/>
  <c r="AC40" i="2"/>
  <c r="AC35" i="2"/>
  <c r="AC33" i="2"/>
  <c r="AC84" i="2"/>
  <c r="AC81" i="2"/>
  <c r="AC39" i="2"/>
  <c r="AC61" i="2"/>
  <c r="AC6" i="2"/>
  <c r="AC85" i="2"/>
  <c r="AC15" i="2"/>
  <c r="AC63" i="2"/>
  <c r="AC56" i="2"/>
  <c r="AC94" i="2" l="1"/>
  <c r="C12" i="3" s="1"/>
  <c r="C13" i="3" s="1"/>
  <c r="E12" i="3" l="1"/>
  <c r="D12" i="3"/>
  <c r="D13" i="3"/>
  <c r="E13" i="3"/>
</calcChain>
</file>

<file path=xl/comments1.xml><?xml version="1.0" encoding="utf-8"?>
<comments xmlns="http://schemas.openxmlformats.org/spreadsheetml/2006/main">
  <authors>
    <author>WBPC</author>
  </authors>
  <commentList>
    <comment ref="A34" authorId="0" shapeId="0">
      <text>
        <r>
          <rPr>
            <b/>
            <sz val="9"/>
            <color indexed="81"/>
            <rFont val="Tahoma"/>
            <family val="2"/>
          </rPr>
          <t>Published result included 4.2% undecided</t>
        </r>
      </text>
    </comment>
  </commentList>
</comments>
</file>

<file path=xl/sharedStrings.xml><?xml version="1.0" encoding="utf-8"?>
<sst xmlns="http://schemas.openxmlformats.org/spreadsheetml/2006/main" count="536" uniqueCount="164">
  <si>
    <t>LNP</t>
  </si>
  <si>
    <t>ALP</t>
  </si>
  <si>
    <t>GRN</t>
  </si>
  <si>
    <t>DATE</t>
  </si>
  <si>
    <t>SAMPLE</t>
  </si>
  <si>
    <t>POLLSTER</t>
  </si>
  <si>
    <t>ReachTEL</t>
  </si>
  <si>
    <t>Galaxy</t>
  </si>
  <si>
    <t>Newspoll</t>
  </si>
  <si>
    <t>Essential</t>
  </si>
  <si>
    <t>BASE</t>
  </si>
  <si>
    <t>ACCURACY</t>
  </si>
  <si>
    <t>PUP</t>
  </si>
  <si>
    <t>LNP 2PP published</t>
  </si>
  <si>
    <t>KAP</t>
  </si>
  <si>
    <t>PUPSHARE</t>
  </si>
  <si>
    <t>BIAS ADJUSTMENT INPUT</t>
  </si>
  <si>
    <t>OUTPUT</t>
  </si>
  <si>
    <t>FINAL OUTPUT</t>
  </si>
  <si>
    <t>PUP SHARE</t>
  </si>
  <si>
    <t>BIAS ADJUSTMENT OUTPUT</t>
  </si>
  <si>
    <t>NEWSPOLL BIAS</t>
  </si>
  <si>
    <t>REACHTEL BIAS</t>
  </si>
  <si>
    <t>GALAXY BIAS</t>
  </si>
  <si>
    <t>ESSENTIAL BIAS</t>
  </si>
  <si>
    <t>KAP SHARE</t>
  </si>
  <si>
    <t>KAPSHARE</t>
  </si>
  <si>
    <t>LNP2</t>
  </si>
  <si>
    <t>OTH</t>
  </si>
  <si>
    <t/>
  </si>
  <si>
    <t>Albert</t>
  </si>
  <si>
    <t>Algester</t>
  </si>
  <si>
    <t>Ashgrove</t>
  </si>
  <si>
    <t>Aspley</t>
  </si>
  <si>
    <t>Barron River</t>
  </si>
  <si>
    <t>Beaudesert</t>
  </si>
  <si>
    <t>Brisbane Central</t>
  </si>
  <si>
    <t>Broadwater</t>
  </si>
  <si>
    <t>Buderim</t>
  </si>
  <si>
    <t>Bulimba</t>
  </si>
  <si>
    <t>Bundaberg</t>
  </si>
  <si>
    <t>Bundamba</t>
  </si>
  <si>
    <t>Burdekin</t>
  </si>
  <si>
    <t>Burleigh</t>
  </si>
  <si>
    <t>Burnett</t>
  </si>
  <si>
    <t>Cairns</t>
  </si>
  <si>
    <t>Callide</t>
  </si>
  <si>
    <t>Caloundra</t>
  </si>
  <si>
    <t>Capalaba</t>
  </si>
  <si>
    <t>Chatsworth</t>
  </si>
  <si>
    <t>Clayfield</t>
  </si>
  <si>
    <t>Cleveland</t>
  </si>
  <si>
    <t>Cook</t>
  </si>
  <si>
    <t>Coomera</t>
  </si>
  <si>
    <t>Currumbin</t>
  </si>
  <si>
    <t>Everton</t>
  </si>
  <si>
    <t>Gaven</t>
  </si>
  <si>
    <t>Gladstone</t>
  </si>
  <si>
    <t>Glass House</t>
  </si>
  <si>
    <t>Greenslopes</t>
  </si>
  <si>
    <t>Gregory</t>
  </si>
  <si>
    <t>Gympie</t>
  </si>
  <si>
    <t>Hervey Bay</t>
  </si>
  <si>
    <t>Hinchinbrook</t>
  </si>
  <si>
    <t>Inala</t>
  </si>
  <si>
    <t>Indooroopilly</t>
  </si>
  <si>
    <t>Ipswich</t>
  </si>
  <si>
    <t>Ipswich West</t>
  </si>
  <si>
    <t>Kallangur</t>
  </si>
  <si>
    <t>Kawana</t>
  </si>
  <si>
    <t>Keppel</t>
  </si>
  <si>
    <t>Lockyer</t>
  </si>
  <si>
    <t>Logan</t>
  </si>
  <si>
    <t>Lytton</t>
  </si>
  <si>
    <t>Mackay</t>
  </si>
  <si>
    <t>Mansfield</t>
  </si>
  <si>
    <t>Maroochydore</t>
  </si>
  <si>
    <t>Mirani</t>
  </si>
  <si>
    <t>Moggill</t>
  </si>
  <si>
    <t>Morayfield</t>
  </si>
  <si>
    <t>Mount Coot-tha</t>
  </si>
  <si>
    <t>Mount Ommaney</t>
  </si>
  <si>
    <t>Mudgeeraba</t>
  </si>
  <si>
    <t>Mulgrave</t>
  </si>
  <si>
    <t>Mundingburra</t>
  </si>
  <si>
    <t>Murrumba</t>
  </si>
  <si>
    <t>Noosa</t>
  </si>
  <si>
    <t>Nudgee</t>
  </si>
  <si>
    <t>Pumicestone</t>
  </si>
  <si>
    <t>Redcliffe</t>
  </si>
  <si>
    <t>Redlands</t>
  </si>
  <si>
    <t>Rockhampton</t>
  </si>
  <si>
    <t>Sandgate</t>
  </si>
  <si>
    <t>South Brisbane</t>
  </si>
  <si>
    <t>Southern Downs</t>
  </si>
  <si>
    <t>Southport</t>
  </si>
  <si>
    <t>Springwood</t>
  </si>
  <si>
    <t>Stafford</t>
  </si>
  <si>
    <t>Stretton</t>
  </si>
  <si>
    <t>Sunnybank</t>
  </si>
  <si>
    <t>Surfers Paradise</t>
  </si>
  <si>
    <t>Thuringowa</t>
  </si>
  <si>
    <t>Toowoomba North</t>
  </si>
  <si>
    <t>Toowoomba South</t>
  </si>
  <si>
    <t>Townsville</t>
  </si>
  <si>
    <t>Warrego</t>
  </si>
  <si>
    <t>Waterford</t>
  </si>
  <si>
    <t>Whitsunday</t>
  </si>
  <si>
    <t>Woodridge</t>
  </si>
  <si>
    <t>Yeerongpilly</t>
  </si>
  <si>
    <t>SWING SINCE</t>
  </si>
  <si>
    <t>Labor</t>
  </si>
  <si>
    <t>Greens</t>
  </si>
  <si>
    <t>Others</t>
  </si>
  <si>
    <t>LABOR</t>
  </si>
  <si>
    <t>SEATS</t>
  </si>
  <si>
    <t>Liberal National</t>
  </si>
  <si>
    <t>LIBERAL NATIONAL</t>
  </si>
  <si>
    <t>2012 RESULTS</t>
  </si>
  <si>
    <t>DEV FROM MEAN</t>
  </si>
  <si>
    <t>Ferny Grove</t>
  </si>
  <si>
    <t>Dalrymple</t>
  </si>
  <si>
    <t>Condamine</t>
  </si>
  <si>
    <t>Maryborough</t>
  </si>
  <si>
    <t>Mermaid Beach</t>
  </si>
  <si>
    <t>Nanango</t>
  </si>
  <si>
    <t>Nicklin</t>
  </si>
  <si>
    <t>Pine Rivers</t>
  </si>
  <si>
    <t>MODELLED PRIMARY</t>
  </si>
  <si>
    <t>Mount Isa</t>
  </si>
  <si>
    <t>ALP PREF</t>
  </si>
  <si>
    <t>LNP PREF</t>
  </si>
  <si>
    <t>STANDARDISED</t>
  </si>
  <si>
    <t>LNP 2PP</t>
  </si>
  <si>
    <t>ALP 2PP</t>
  </si>
  <si>
    <t>LNPINC</t>
  </si>
  <si>
    <t>ALPINC</t>
  </si>
  <si>
    <t>LNPVAC</t>
  </si>
  <si>
    <t>INDVAC</t>
  </si>
  <si>
    <t>INDINC</t>
  </si>
  <si>
    <t>NONE</t>
  </si>
  <si>
    <t>ALPVAC</t>
  </si>
  <si>
    <t>ALPBYE</t>
  </si>
  <si>
    <t>LNPVACWIN</t>
  </si>
  <si>
    <t>ALPSOPVAC</t>
  </si>
  <si>
    <t>LNPSOPVAC</t>
  </si>
  <si>
    <t>LNPSOPWIN</t>
  </si>
  <si>
    <t>Vacant</t>
  </si>
  <si>
    <t>Changed</t>
  </si>
  <si>
    <t>Sophomore</t>
  </si>
  <si>
    <t>Rural*Sophomore</t>
  </si>
  <si>
    <t>SEQ</t>
  </si>
  <si>
    <t>Adjustment</t>
  </si>
  <si>
    <t>IND</t>
  </si>
  <si>
    <t>ABSOLUTE SWING</t>
  </si>
  <si>
    <t>LNP SEATS</t>
  </si>
  <si>
    <t>Global adjustment</t>
  </si>
  <si>
    <t>ALP2</t>
  </si>
  <si>
    <t>LNP+PREF</t>
  </si>
  <si>
    <t>ALP+PREF</t>
  </si>
  <si>
    <t>EXCEL CODE FOR 1/7/2012</t>
  </si>
  <si>
    <t>SAS CODE FOR 1/7/2012</t>
  </si>
  <si>
    <t>2012 FORMAL</t>
  </si>
  <si>
    <t>POLLSTER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</si>
</sst>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\+#0.0%;\-#0.0%"/>
    <numFmt numFmtId="166" formatCode="\+#;\-#;0"/>
  </numFmts>
  <fonts count="20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rgb="FF0049B3"/>
      <name val="Arial"/>
      <family val="2"/>
    </font>
    <font>
      <sz val="9"/>
      <color theme="1"/>
      <name val="Arial"/>
      <family val="2"/>
    </font>
    <font>
      <b/>
      <sz val="9"/>
      <color rgb="FF8C0000"/>
      <name val="Arial"/>
      <family val="2"/>
    </font>
    <font>
      <b/>
      <sz val="9"/>
      <color rgb="FF006000"/>
      <name val="Arial"/>
      <family val="2"/>
    </font>
    <font>
      <b/>
      <sz val="9"/>
      <color theme="1" tint="0.49998474074526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rgb="FFFFDADA"/>
        <bgColor indexed="64"/>
      </patternFill>
    </fill>
    <fill>
      <patternFill patternType="solid">
        <fgColor rgb="FFDAE9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C1C1C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0" fontId="1" fillId="0" borderId="0" xfId="0" applyFont="1" applyAlignment="1">
      <alignment vertical="top" wrapText="1"/>
    </xf>
    <xf numFmtId="14" fontId="2" fillId="0" borderId="0" xfId="1" applyNumberFormat="1" applyFont="1"/>
    <xf numFmtId="0" fontId="1" fillId="0" borderId="1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0" applyFont="1"/>
    <xf numFmtId="0" fontId="5" fillId="2" borderId="2" xfId="1" applyFont="1" applyFill="1" applyBorder="1"/>
    <xf numFmtId="0" fontId="6" fillId="2" borderId="0" xfId="1" applyFont="1" applyFill="1" applyBorder="1" applyAlignment="1">
      <alignment horizontal="center"/>
    </xf>
    <xf numFmtId="16" fontId="6" fillId="2" borderId="0" xfId="1" applyNumberFormat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2" borderId="2" xfId="1" applyFont="1" applyFill="1" applyBorder="1"/>
    <xf numFmtId="164" fontId="7" fillId="2" borderId="0" xfId="1" applyNumberFormat="1" applyFont="1" applyFill="1" applyBorder="1" applyAlignment="1">
      <alignment horizontal="center"/>
    </xf>
    <xf numFmtId="165" fontId="8" fillId="2" borderId="0" xfId="1" applyNumberFormat="1" applyFont="1" applyFill="1" applyBorder="1" applyAlignment="1">
      <alignment horizontal="center"/>
    </xf>
    <xf numFmtId="165" fontId="8" fillId="2" borderId="3" xfId="1" applyNumberFormat="1" applyFont="1" applyFill="1" applyBorder="1" applyAlignment="1">
      <alignment horizontal="center"/>
    </xf>
    <xf numFmtId="0" fontId="9" fillId="2" borderId="2" xfId="1" applyFont="1" applyFill="1" applyBorder="1"/>
    <xf numFmtId="164" fontId="9" fillId="2" borderId="0" xfId="1" applyNumberFormat="1" applyFont="1" applyFill="1" applyBorder="1" applyAlignment="1">
      <alignment horizontal="center"/>
    </xf>
    <xf numFmtId="0" fontId="10" fillId="2" borderId="2" xfId="1" applyFont="1" applyFill="1" applyBorder="1"/>
    <xf numFmtId="164" fontId="10" fillId="2" borderId="0" xfId="1" applyNumberFormat="1" applyFont="1" applyFill="1" applyBorder="1" applyAlignment="1">
      <alignment horizontal="center"/>
    </xf>
    <xf numFmtId="0" fontId="11" fillId="2" borderId="2" xfId="1" applyFont="1" applyFill="1" applyBorder="1"/>
    <xf numFmtId="164" fontId="11" fillId="2" borderId="0" xfId="1" applyNumberFormat="1" applyFont="1" applyFill="1" applyBorder="1" applyAlignment="1">
      <alignment horizontal="center"/>
    </xf>
    <xf numFmtId="0" fontId="12" fillId="3" borderId="2" xfId="1" applyFont="1" applyFill="1" applyBorder="1"/>
    <xf numFmtId="164" fontId="12" fillId="3" borderId="0" xfId="1" applyNumberFormat="1" applyFont="1" applyFill="1" applyBorder="1" applyAlignment="1">
      <alignment horizontal="center"/>
    </xf>
    <xf numFmtId="165" fontId="13" fillId="3" borderId="0" xfId="1" applyNumberFormat="1" applyFont="1" applyFill="1" applyBorder="1" applyAlignment="1">
      <alignment horizontal="center"/>
    </xf>
    <xf numFmtId="165" fontId="13" fillId="3" borderId="3" xfId="1" applyNumberFormat="1" applyFont="1" applyFill="1" applyBorder="1" applyAlignment="1">
      <alignment horizontal="center"/>
    </xf>
    <xf numFmtId="0" fontId="5" fillId="2" borderId="0" xfId="1" applyFont="1" applyFill="1" applyBorder="1"/>
    <xf numFmtId="0" fontId="5" fillId="2" borderId="3" xfId="1" applyFont="1" applyFill="1" applyBorder="1"/>
    <xf numFmtId="0" fontId="12" fillId="4" borderId="2" xfId="1" applyFont="1" applyFill="1" applyBorder="1"/>
    <xf numFmtId="1" fontId="12" fillId="4" borderId="0" xfId="1" applyNumberFormat="1" applyFont="1" applyFill="1" applyBorder="1" applyAlignment="1">
      <alignment horizontal="center"/>
    </xf>
    <xf numFmtId="1" fontId="12" fillId="3" borderId="0" xfId="1" applyNumberFormat="1" applyFont="1" applyFill="1" applyBorder="1" applyAlignment="1">
      <alignment horizontal="center"/>
    </xf>
    <xf numFmtId="0" fontId="14" fillId="2" borderId="2" xfId="1" applyFont="1" applyFill="1" applyBorder="1"/>
    <xf numFmtId="0" fontId="14" fillId="2" borderId="0" xfId="1" applyNumberFormat="1" applyFont="1" applyFill="1" applyBorder="1" applyAlignment="1">
      <alignment horizontal="center"/>
    </xf>
    <xf numFmtId="0" fontId="8" fillId="2" borderId="0" xfId="1" applyNumberFormat="1" applyFont="1" applyFill="1" applyBorder="1" applyAlignment="1">
      <alignment horizontal="center"/>
    </xf>
    <xf numFmtId="0" fontId="8" fillId="2" borderId="3" xfId="1" applyNumberFormat="1" applyFont="1" applyFill="1" applyBorder="1" applyAlignment="1">
      <alignment horizontal="center"/>
    </xf>
    <xf numFmtId="0" fontId="5" fillId="2" borderId="4" xfId="1" applyFont="1" applyFill="1" applyBorder="1"/>
    <xf numFmtId="0" fontId="6" fillId="2" borderId="4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top"/>
    </xf>
    <xf numFmtId="0" fontId="15" fillId="0" borderId="0" xfId="0" applyFont="1"/>
    <xf numFmtId="0" fontId="0" fillId="5" borderId="0" xfId="0" applyFill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7" fillId="0" borderId="0" xfId="0" applyFont="1"/>
    <xf numFmtId="0" fontId="18" fillId="0" borderId="0" xfId="1" applyFont="1"/>
    <xf numFmtId="164" fontId="18" fillId="0" borderId="0" xfId="1" applyNumberFormat="1" applyFont="1"/>
    <xf numFmtId="164" fontId="17" fillId="0" borderId="0" xfId="0" applyNumberFormat="1" applyFont="1"/>
    <xf numFmtId="164" fontId="19" fillId="0" borderId="0" xfId="1" applyNumberFormat="1" applyFont="1"/>
    <xf numFmtId="164" fontId="2" fillId="0" borderId="0" xfId="1" applyNumberFormat="1"/>
    <xf numFmtId="9" fontId="18" fillId="0" borderId="0" xfId="1" applyNumberFormat="1" applyFont="1"/>
    <xf numFmtId="0" fontId="0" fillId="0" borderId="0" xfId="0" applyFill="1"/>
    <xf numFmtId="1" fontId="0" fillId="0" borderId="0" xfId="0" applyNumberFormat="1"/>
    <xf numFmtId="166" fontId="8" fillId="3" borderId="0" xfId="1" applyNumberFormat="1" applyFont="1" applyFill="1" applyBorder="1" applyAlignment="1">
      <alignment horizontal="center"/>
    </xf>
    <xf numFmtId="166" fontId="8" fillId="3" borderId="3" xfId="1" applyNumberFormat="1" applyFont="1" applyFill="1" applyBorder="1" applyAlignment="1">
      <alignment horizontal="center"/>
    </xf>
    <xf numFmtId="164" fontId="12" fillId="4" borderId="0" xfId="1" applyNumberFormat="1" applyFont="1" applyFill="1" applyBorder="1" applyAlignment="1">
      <alignment horizontal="center"/>
    </xf>
    <xf numFmtId="165" fontId="13" fillId="4" borderId="0" xfId="1" applyNumberFormat="1" applyFont="1" applyFill="1" applyBorder="1" applyAlignment="1">
      <alignment horizontal="center"/>
    </xf>
    <xf numFmtId="165" fontId="13" fillId="4" borderId="3" xfId="1" applyNumberFormat="1" applyFont="1" applyFill="1" applyBorder="1" applyAlignment="1">
      <alignment horizontal="center"/>
    </xf>
    <xf numFmtId="166" fontId="8" fillId="4" borderId="0" xfId="1" applyNumberFormat="1" applyFont="1" applyFill="1" applyBorder="1" applyAlignment="1">
      <alignment horizontal="center"/>
    </xf>
    <xf numFmtId="166" fontId="8" fillId="4" borderId="3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Fill="1" applyBorder="1" applyAlignment="1">
      <alignment horizontal="center" vertical="top"/>
    </xf>
    <xf numFmtId="0" fontId="6" fillId="2" borderId="3" xfId="1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49B3"/>
      <color rgb="FFDAE9FF"/>
      <color rgb="FFDADFFF"/>
      <color rgb="FFCCE5E5"/>
      <color rgb="FFB2D8D8"/>
      <color rgb="FF008080"/>
      <color rgb="FFFBB117"/>
      <color rgb="FFBF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68"/>
  <sheetViews>
    <sheetView workbookViewId="0">
      <pane xSplit="3" ySplit="2" topLeftCell="BN48" activePane="bottomRight" state="frozen"/>
      <selection pane="topRight" activeCell="D1" sqref="D1"/>
      <selection pane="bottomLeft" activeCell="A3" sqref="A3"/>
      <selection pane="bottomRight" activeCell="CB56" sqref="CB56"/>
    </sheetView>
  </sheetViews>
  <sheetFormatPr defaultRowHeight="15" x14ac:dyDescent="0.25"/>
  <cols>
    <col min="1" max="1" width="10.7109375" bestFit="1" customWidth="1"/>
    <col min="2" max="2" width="10.7109375" customWidth="1"/>
    <col min="13" max="13" width="10.7109375" bestFit="1" customWidth="1"/>
    <col min="19" max="19" width="10.7109375" bestFit="1" customWidth="1"/>
    <col min="23" max="23" width="13.140625" bestFit="1" customWidth="1"/>
    <col min="25" max="25" width="10.7109375" bestFit="1" customWidth="1"/>
    <col min="35" max="36" width="9.140625" customWidth="1"/>
    <col min="54" max="54" width="9.7109375" bestFit="1" customWidth="1"/>
    <col min="55" max="55" width="10.7109375" bestFit="1" customWidth="1"/>
    <col min="62" max="62" width="10.7109375" bestFit="1" customWidth="1"/>
    <col min="64" max="64" width="9.7109375" bestFit="1" customWidth="1"/>
    <col min="67" max="71" width="9.28515625" bestFit="1" customWidth="1"/>
    <col min="73" max="73" width="10.7109375" bestFit="1" customWidth="1"/>
    <col min="79" max="79" width="10.7109375" bestFit="1" customWidth="1"/>
  </cols>
  <sheetData>
    <row r="1" spans="1:86" x14ac:dyDescent="0.25">
      <c r="M1" s="67" t="s">
        <v>19</v>
      </c>
      <c r="N1" s="67"/>
      <c r="O1" s="67"/>
      <c r="P1" s="67"/>
      <c r="Q1" s="67"/>
      <c r="R1" s="6"/>
      <c r="S1" s="67" t="s">
        <v>25</v>
      </c>
      <c r="T1" s="67"/>
      <c r="U1" s="67"/>
      <c r="V1" s="67"/>
      <c r="W1" s="67"/>
      <c r="Y1" s="67" t="s">
        <v>16</v>
      </c>
      <c r="Z1" s="67"/>
      <c r="AA1" s="67"/>
      <c r="AB1" s="67"/>
      <c r="AC1" s="67"/>
      <c r="AD1" s="10"/>
      <c r="AE1" s="6"/>
      <c r="AF1" s="67" t="s">
        <v>20</v>
      </c>
      <c r="AG1" s="67"/>
      <c r="AH1" s="67"/>
      <c r="AI1" s="67"/>
      <c r="AJ1" s="67"/>
      <c r="AL1" s="67" t="s">
        <v>21</v>
      </c>
      <c r="AM1" s="67"/>
      <c r="AN1" s="67"/>
      <c r="AP1" s="67" t="s">
        <v>22</v>
      </c>
      <c r="AQ1" s="67"/>
      <c r="AR1" s="67"/>
      <c r="AT1" s="67" t="s">
        <v>23</v>
      </c>
      <c r="AU1" s="67"/>
      <c r="AV1" s="67"/>
      <c r="AX1" s="67" t="s">
        <v>24</v>
      </c>
      <c r="AY1" s="67"/>
      <c r="AZ1" s="67"/>
    </row>
    <row r="2" spans="1:86" ht="15.75" thickBot="1" x14ac:dyDescent="0.3">
      <c r="A2" t="s">
        <v>3</v>
      </c>
      <c r="B2" t="s">
        <v>5</v>
      </c>
      <c r="C2" t="s">
        <v>4</v>
      </c>
      <c r="D2" t="s">
        <v>11</v>
      </c>
      <c r="E2" t="s">
        <v>0</v>
      </c>
      <c r="F2" t="s">
        <v>1</v>
      </c>
      <c r="G2" t="s">
        <v>2</v>
      </c>
      <c r="H2" t="s">
        <v>12</v>
      </c>
      <c r="I2" t="s">
        <v>14</v>
      </c>
      <c r="J2" t="s">
        <v>13</v>
      </c>
      <c r="M2" t="s">
        <v>3</v>
      </c>
      <c r="N2" t="s">
        <v>10</v>
      </c>
      <c r="O2" t="s">
        <v>15</v>
      </c>
      <c r="P2" t="s">
        <v>17</v>
      </c>
      <c r="Q2" t="s">
        <v>18</v>
      </c>
      <c r="S2" t="s">
        <v>3</v>
      </c>
      <c r="T2" t="s">
        <v>10</v>
      </c>
      <c r="U2" t="s">
        <v>26</v>
      </c>
      <c r="V2" t="s">
        <v>17</v>
      </c>
      <c r="W2" t="s">
        <v>18</v>
      </c>
      <c r="Y2" t="s">
        <v>3</v>
      </c>
      <c r="Z2" t="s">
        <v>10</v>
      </c>
      <c r="AA2" t="s">
        <v>0</v>
      </c>
      <c r="AB2" t="s">
        <v>1</v>
      </c>
      <c r="AC2" t="s">
        <v>2</v>
      </c>
      <c r="AD2" t="s">
        <v>27</v>
      </c>
      <c r="AF2" t="s">
        <v>0</v>
      </c>
      <c r="AG2" t="s">
        <v>1</v>
      </c>
      <c r="AH2" t="s">
        <v>2</v>
      </c>
      <c r="AI2" t="s">
        <v>12</v>
      </c>
      <c r="AJ2" t="s">
        <v>14</v>
      </c>
      <c r="AL2" t="s">
        <v>0</v>
      </c>
      <c r="AM2" t="s">
        <v>1</v>
      </c>
      <c r="AN2" t="s">
        <v>2</v>
      </c>
      <c r="AP2" t="s">
        <v>0</v>
      </c>
      <c r="AQ2" t="s">
        <v>1</v>
      </c>
      <c r="AR2" t="s">
        <v>2</v>
      </c>
      <c r="AT2" t="s">
        <v>0</v>
      </c>
      <c r="AU2" t="s">
        <v>1</v>
      </c>
      <c r="AV2" t="s">
        <v>2</v>
      </c>
      <c r="AX2" t="s">
        <v>0</v>
      </c>
      <c r="AY2" t="s">
        <v>1</v>
      </c>
      <c r="AZ2" t="s">
        <v>2</v>
      </c>
      <c r="BC2" t="s">
        <v>3</v>
      </c>
      <c r="BD2" t="s">
        <v>10</v>
      </c>
      <c r="BE2" t="s">
        <v>0</v>
      </c>
      <c r="BF2" t="s">
        <v>1</v>
      </c>
      <c r="BG2" t="s">
        <v>2</v>
      </c>
      <c r="BH2" t="s">
        <v>14</v>
      </c>
      <c r="BO2" t="s">
        <v>0</v>
      </c>
      <c r="BP2" t="s">
        <v>1</v>
      </c>
      <c r="BQ2" t="s">
        <v>2</v>
      </c>
      <c r="BR2" t="s">
        <v>14</v>
      </c>
      <c r="BS2" t="s">
        <v>12</v>
      </c>
      <c r="BU2" t="s">
        <v>131</v>
      </c>
      <c r="BV2" t="s">
        <v>130</v>
      </c>
      <c r="BX2" t="s">
        <v>158</v>
      </c>
      <c r="BY2" t="s">
        <v>159</v>
      </c>
      <c r="CA2" t="s">
        <v>3</v>
      </c>
      <c r="CB2" t="s">
        <v>27</v>
      </c>
      <c r="CC2" t="s">
        <v>157</v>
      </c>
      <c r="CG2" t="s">
        <v>163</v>
      </c>
    </row>
    <row r="3" spans="1:86" ht="15.75" thickBot="1" x14ac:dyDescent="0.3">
      <c r="A3" s="1">
        <v>41133</v>
      </c>
      <c r="B3" t="s">
        <v>8</v>
      </c>
      <c r="C3">
        <v>1136</v>
      </c>
      <c r="D3">
        <f>INDEX(CH$3:CH$6,MATCH(B3,CG$3:CG$6,0))</f>
        <v>1</v>
      </c>
      <c r="E3">
        <v>48</v>
      </c>
      <c r="F3">
        <v>30</v>
      </c>
      <c r="G3">
        <v>9</v>
      </c>
      <c r="J3">
        <v>60</v>
      </c>
      <c r="K3">
        <f t="shared" ref="K3:K35" si="0">(J3-E3)/(100-(E3+F3))</f>
        <v>0.54545454545454541</v>
      </c>
      <c r="M3" s="1" t="str">
        <f t="shared" ref="M3:M34" si="1">IF(H3&lt;&gt;"",A3,"")</f>
        <v/>
      </c>
      <c r="N3" t="str">
        <f t="shared" ref="N3:N34" si="2">IF(H3&lt;&gt;"",C3*D3,"")</f>
        <v/>
      </c>
      <c r="O3" t="str">
        <f t="shared" ref="O3:O34" si="3">IF(H3&lt;&gt;"",H3/(100-SUM(E3:G3)),"")</f>
        <v/>
      </c>
      <c r="S3" s="2" t="str">
        <f t="shared" ref="S3:S34" si="4">IF(I3&lt;&gt;"",A3,"")</f>
        <v/>
      </c>
      <c r="T3" t="str">
        <f t="shared" ref="T3:T34" si="5">IF(I3&lt;&gt;"",C3*D3,"")</f>
        <v/>
      </c>
      <c r="U3" t="str">
        <f t="shared" ref="U3:U34" si="6">IF(I3&lt;&gt;"",I3/(100-SUM(E3:G3)),"")</f>
        <v/>
      </c>
      <c r="Y3" s="1">
        <f t="shared" ref="Y3:Y34" si="7">A3</f>
        <v>41133</v>
      </c>
      <c r="Z3">
        <f t="shared" ref="Z3:Z34" si="8">C3*D3</f>
        <v>1136</v>
      </c>
      <c r="AA3">
        <f t="shared" ref="AA3:AA34" si="9">E3</f>
        <v>48</v>
      </c>
      <c r="AB3">
        <f t="shared" ref="AB3:AB34" si="10">F3</f>
        <v>30</v>
      </c>
      <c r="AC3">
        <f t="shared" ref="AC3:AC34" si="11">G3</f>
        <v>9</v>
      </c>
      <c r="AD3">
        <f t="shared" ref="AD3:AD34" si="12">J3</f>
        <v>60</v>
      </c>
      <c r="AF3" s="5">
        <v>46.787430000000001</v>
      </c>
      <c r="AG3" s="5">
        <v>30.88111</v>
      </c>
      <c r="AH3" s="5">
        <v>8.6362000000000005</v>
      </c>
      <c r="AL3">
        <f t="shared" ref="AL3:AL34" si="13">IF($B3="Newspoll",IF(AA3="","",AF3-AA3),"")</f>
        <v>-1.2125699999999995</v>
      </c>
      <c r="AM3">
        <f t="shared" ref="AM3:AM34" si="14">IF($B3="Newspoll",IF(AB3="","",AG3-AB3),"")</f>
        <v>0.88110999999999962</v>
      </c>
      <c r="AN3">
        <f t="shared" ref="AN3:AN34" si="15">IF($B3="Newspoll",IF(AC3="","",AH3-AC3),"")</f>
        <v>-0.36379999999999946</v>
      </c>
      <c r="AP3" t="str">
        <f t="shared" ref="AP3:AP34" si="16">IF($B3="ReachTEL",IF(AA3="","",AF3-AA3),"")</f>
        <v/>
      </c>
      <c r="AQ3" t="str">
        <f t="shared" ref="AQ3:AQ34" si="17">IF($B3="ReachTEL",IF(AB3="","",AG3-AB3),"")</f>
        <v/>
      </c>
      <c r="AR3" t="str">
        <f t="shared" ref="AR3:AR34" si="18">IF($B3="ReachTEL",IF(AC3="","",AH3-AC3),"")</f>
        <v/>
      </c>
      <c r="AT3" t="str">
        <f t="shared" ref="AT3:AT34" si="19">IF($B3="Galaxy",IF(AA3="","",AF3-AA3),"")</f>
        <v/>
      </c>
      <c r="AU3" t="str">
        <f t="shared" ref="AU3:AU34" si="20">IF($B3="Galaxy",IF(AB3="","",AG3-AB3),"")</f>
        <v/>
      </c>
      <c r="AV3" t="str">
        <f t="shared" ref="AV3:AV34" si="21">IF($B3="Galaxy",IF(AC3="","",AH3-AC3),"")</f>
        <v/>
      </c>
      <c r="AX3" t="str">
        <f t="shared" ref="AX3:AX34" si="22">IF($B3="Essential",IF(AA3="","",AF3-AA3),"")</f>
        <v/>
      </c>
      <c r="AY3" t="str">
        <f t="shared" ref="AY3:AY34" si="23">IF($B3="Essential",IF(AB3="","",AG3-AB3),"")</f>
        <v/>
      </c>
      <c r="AZ3" t="str">
        <f t="shared" ref="AZ3:AZ34" si="24">IF($B3="Essential",IF(AC3="","",AH3-AC3),"")</f>
        <v/>
      </c>
      <c r="BC3" s="1">
        <f t="shared" ref="BC3:BC42" si="25">A3</f>
        <v>41133</v>
      </c>
      <c r="BD3">
        <f t="shared" ref="BD3:BD42" si="26">C3*D3</f>
        <v>1136</v>
      </c>
      <c r="BE3">
        <f t="shared" ref="BE3:BE34" si="27">IF($B3="Newspoll",AA3+AL$58,IF($B3="ReachTEL",AA3+AP$58,IF($B3="Galaxy",AA3+AT$58,IF($B3="Essential",AA3+AX$58,"X"))))</f>
        <v>48.828401818181817</v>
      </c>
      <c r="BF3">
        <f t="shared" ref="BF3:BF34" si="28">IF($B3="Newspoll",AB3+AM$58,IF($B3="ReachTEL",AB3+AQ$58,IF($B3="Galaxy",AB3+AU$58,IF($B3="Essential",AB3+AY$58,"X"))))</f>
        <v>31.370295454545452</v>
      </c>
      <c r="BG3">
        <f t="shared" ref="BG3:BG34" si="29">IF($B3="Newspoll",AC3+AN$58,IF($B3="ReachTEL",AC3+AR$58,IF($B3="Galaxy",AC3+AV$58,IF($B3="Essential",AC3+AZ$58,"X"))))</f>
        <v>8.5798372727272731</v>
      </c>
      <c r="BO3" s="5">
        <v>47.590760000000003</v>
      </c>
      <c r="BP3" s="5">
        <v>30.92595</v>
      </c>
      <c r="BQ3" s="5">
        <v>8.4760200000000001</v>
      </c>
      <c r="BU3">
        <f t="shared" ref="BU3:BU34" si="30">29.5+(($BP3/($BO3+$BP3))*-8.9)+((BQ3/(100-(BO3+BP3)))*-9.5)</f>
        <v>22.246360778505686</v>
      </c>
      <c r="BV3">
        <f t="shared" ref="BV3:BV34" si="31">4.7+(($BP3/($BO3+$BP3))*20.8)+((BQ3/(100-(BO3+BP3)))*34.1)</f>
        <v>26.346466295251034</v>
      </c>
      <c r="BX3">
        <f>BO3+((100-($BO3+$BP3))*(BU3/100))</f>
        <v>52.370010200492636</v>
      </c>
      <c r="BY3">
        <f>BP3+((100-($BO3+$BP3))*(BV3/100))</f>
        <v>36.586037758961034</v>
      </c>
      <c r="CA3" s="1">
        <f>A3</f>
        <v>41133</v>
      </c>
      <c r="CB3">
        <f>(BX3/($BX3+$BY3))*100</f>
        <v>58.87178151660131</v>
      </c>
      <c r="CC3">
        <f>(BY3/($BX3+$BY3))*100</f>
        <v>41.128218483398697</v>
      </c>
      <c r="CG3" t="s">
        <v>8</v>
      </c>
      <c r="CH3">
        <v>1</v>
      </c>
    </row>
    <row r="4" spans="1:86" ht="15.75" thickBot="1" x14ac:dyDescent="0.3">
      <c r="A4" s="1">
        <v>41138</v>
      </c>
      <c r="B4" s="1" t="s">
        <v>6</v>
      </c>
      <c r="C4">
        <v>1100</v>
      </c>
      <c r="D4">
        <f>INDEX(CH$3:CH$6,MATCH(B4,CG$3:CG$6,0))</f>
        <v>0.41</v>
      </c>
      <c r="E4">
        <v>44.2</v>
      </c>
      <c r="F4">
        <v>31.6</v>
      </c>
      <c r="G4">
        <v>9.1999999999999993</v>
      </c>
      <c r="I4">
        <v>9.6</v>
      </c>
      <c r="J4">
        <f>E4+((100-(E4+F4))*K4)</f>
        <v>57.301637999999997</v>
      </c>
      <c r="K4" s="7">
        <v>0.54139000000000004</v>
      </c>
      <c r="L4" s="7"/>
      <c r="M4" s="1" t="str">
        <f t="shared" si="1"/>
        <v/>
      </c>
      <c r="N4" t="str">
        <f t="shared" si="2"/>
        <v/>
      </c>
      <c r="O4" t="str">
        <f t="shared" si="3"/>
        <v/>
      </c>
      <c r="S4" s="2">
        <f t="shared" si="4"/>
        <v>41138</v>
      </c>
      <c r="T4">
        <f t="shared" si="5"/>
        <v>451</v>
      </c>
      <c r="U4">
        <f t="shared" si="6"/>
        <v>0.64000000000000057</v>
      </c>
      <c r="V4" s="5">
        <v>0.62261</v>
      </c>
      <c r="W4" s="5">
        <f>V4</f>
        <v>0.62261</v>
      </c>
      <c r="X4" s="5"/>
      <c r="Y4" s="1">
        <f t="shared" si="7"/>
        <v>41138</v>
      </c>
      <c r="Z4">
        <f t="shared" si="8"/>
        <v>451</v>
      </c>
      <c r="AA4">
        <f t="shared" si="9"/>
        <v>44.2</v>
      </c>
      <c r="AB4">
        <f t="shared" si="10"/>
        <v>31.6</v>
      </c>
      <c r="AC4">
        <f t="shared" si="11"/>
        <v>9.1999999999999993</v>
      </c>
      <c r="AD4">
        <f t="shared" si="12"/>
        <v>57.301637999999997</v>
      </c>
      <c r="AF4" s="3">
        <v>46.557810000000003</v>
      </c>
      <c r="AG4" s="3">
        <v>30.986460000000001</v>
      </c>
      <c r="AH4" s="3">
        <v>8.6224500000000006</v>
      </c>
      <c r="AJ4" s="3">
        <f t="shared" ref="AJ4:AJ22" si="32">(100-SUM(AF4:AH4))*W4</f>
        <v>8.6127384607999922</v>
      </c>
      <c r="AL4" t="str">
        <f t="shared" si="13"/>
        <v/>
      </c>
      <c r="AM4" t="str">
        <f t="shared" si="14"/>
        <v/>
      </c>
      <c r="AN4" t="str">
        <f t="shared" si="15"/>
        <v/>
      </c>
      <c r="AP4">
        <f t="shared" si="16"/>
        <v>2.3578100000000006</v>
      </c>
      <c r="AQ4">
        <f t="shared" si="17"/>
        <v>-0.61354000000000042</v>
      </c>
      <c r="AR4">
        <f t="shared" si="18"/>
        <v>-0.57754999999999868</v>
      </c>
      <c r="AT4" t="str">
        <f t="shared" si="19"/>
        <v/>
      </c>
      <c r="AU4" t="str">
        <f t="shared" si="20"/>
        <v/>
      </c>
      <c r="AV4" t="str">
        <f t="shared" si="21"/>
        <v/>
      </c>
      <c r="AX4" t="str">
        <f t="shared" si="22"/>
        <v/>
      </c>
      <c r="AY4" t="str">
        <f t="shared" si="23"/>
        <v/>
      </c>
      <c r="AZ4" t="str">
        <f t="shared" si="24"/>
        <v/>
      </c>
      <c r="BC4" s="1">
        <f t="shared" si="25"/>
        <v>41138</v>
      </c>
      <c r="BD4">
        <f t="shared" si="26"/>
        <v>451</v>
      </c>
      <c r="BE4">
        <f t="shared" si="27"/>
        <v>43.991269090909093</v>
      </c>
      <c r="BF4">
        <f t="shared" si="28"/>
        <v>31.402054545454547</v>
      </c>
      <c r="BG4">
        <f t="shared" si="29"/>
        <v>9.6452863636363624</v>
      </c>
      <c r="BH4">
        <f t="shared" ref="BH4:BH35" si="33">W4*(100-SUM(E4:G4))</f>
        <v>9.3391499999999912</v>
      </c>
      <c r="BO4" s="3">
        <v>47.32152</v>
      </c>
      <c r="BP4" s="3">
        <v>31.022770000000001</v>
      </c>
      <c r="BQ4" s="3">
        <v>8.4648199999999996</v>
      </c>
      <c r="BR4" s="5">
        <v>8.6231100000000005</v>
      </c>
      <c r="BU4">
        <f t="shared" si="30"/>
        <v>22.26240239640876</v>
      </c>
      <c r="BV4">
        <f t="shared" si="31"/>
        <v>26.265448286710999</v>
      </c>
      <c r="BX4">
        <f t="shared" ref="BX4:BX52" si="34">BO4+((100-(BO4+BP4))*(BU4/100))</f>
        <v>52.142601301999328</v>
      </c>
      <c r="BY4">
        <f t="shared" ref="BY4:BY52" si="35">BP4+((100-($BO4+$BP4))*(BV4/100))</f>
        <v>36.710739311170101</v>
      </c>
      <c r="CA4" s="1">
        <f t="shared" ref="CA4:CA54" si="36">A4</f>
        <v>41138</v>
      </c>
      <c r="CB4">
        <f t="shared" ref="CB4:CB52" si="37">(BX4/($BX4+$BY4))*100</f>
        <v>58.683895216733127</v>
      </c>
      <c r="CC4">
        <f t="shared" ref="CC4:CC52" si="38">(BY4/($BX4+$BY4))*100</f>
        <v>41.31610478326688</v>
      </c>
      <c r="CG4" t="s">
        <v>7</v>
      </c>
      <c r="CH4">
        <v>1.1299999999999999</v>
      </c>
    </row>
    <row r="5" spans="1:86" ht="15.75" thickBot="1" x14ac:dyDescent="0.3">
      <c r="A5" s="1">
        <v>41143</v>
      </c>
      <c r="B5" s="1" t="s">
        <v>7</v>
      </c>
      <c r="C5">
        <v>800</v>
      </c>
      <c r="D5">
        <f>INDEX(CH$3:CH$6,MATCH(B5,CG$3:CG$6,0))</f>
        <v>1.1299999999999999</v>
      </c>
      <c r="E5">
        <v>48</v>
      </c>
      <c r="F5">
        <v>30</v>
      </c>
      <c r="G5">
        <v>9</v>
      </c>
      <c r="I5">
        <v>7</v>
      </c>
      <c r="J5">
        <v>60</v>
      </c>
      <c r="K5">
        <f t="shared" si="0"/>
        <v>0.54545454545454541</v>
      </c>
      <c r="M5" s="1" t="str">
        <f t="shared" si="1"/>
        <v/>
      </c>
      <c r="N5" t="str">
        <f t="shared" si="2"/>
        <v/>
      </c>
      <c r="O5" t="str">
        <f t="shared" si="3"/>
        <v/>
      </c>
      <c r="S5" s="2">
        <f t="shared" si="4"/>
        <v>41143</v>
      </c>
      <c r="T5">
        <f t="shared" si="5"/>
        <v>903.99999999999989</v>
      </c>
      <c r="U5">
        <f t="shared" si="6"/>
        <v>0.53846153846153844</v>
      </c>
      <c r="V5" s="3">
        <v>0.62209999999999999</v>
      </c>
      <c r="W5" s="5">
        <f>V5</f>
        <v>0.62209999999999999</v>
      </c>
      <c r="X5" s="3"/>
      <c r="Y5" s="1">
        <f t="shared" si="7"/>
        <v>41143</v>
      </c>
      <c r="Z5">
        <f t="shared" si="8"/>
        <v>903.99999999999989</v>
      </c>
      <c r="AA5">
        <f t="shared" si="9"/>
        <v>48</v>
      </c>
      <c r="AB5">
        <f t="shared" si="10"/>
        <v>30</v>
      </c>
      <c r="AC5">
        <f t="shared" si="11"/>
        <v>9</v>
      </c>
      <c r="AD5">
        <f t="shared" si="12"/>
        <v>60</v>
      </c>
      <c r="AF5" s="3">
        <v>46.330889999999997</v>
      </c>
      <c r="AG5" s="3">
        <v>31.092410000000001</v>
      </c>
      <c r="AH5" s="3">
        <v>8.6087000000000007</v>
      </c>
      <c r="AJ5" s="3">
        <f t="shared" si="32"/>
        <v>8.6894928000000018</v>
      </c>
      <c r="AL5" t="str">
        <f t="shared" si="13"/>
        <v/>
      </c>
      <c r="AM5" t="str">
        <f t="shared" si="14"/>
        <v/>
      </c>
      <c r="AN5" t="str">
        <f t="shared" si="15"/>
        <v/>
      </c>
      <c r="AP5" t="str">
        <f t="shared" si="16"/>
        <v/>
      </c>
      <c r="AQ5" t="str">
        <f t="shared" si="17"/>
        <v/>
      </c>
      <c r="AR5" t="str">
        <f t="shared" si="18"/>
        <v/>
      </c>
      <c r="AT5">
        <f t="shared" si="19"/>
        <v>-1.6691100000000034</v>
      </c>
      <c r="AU5">
        <f t="shared" si="20"/>
        <v>1.092410000000001</v>
      </c>
      <c r="AV5">
        <f t="shared" si="21"/>
        <v>-0.39129999999999932</v>
      </c>
      <c r="AX5" t="str">
        <f t="shared" si="22"/>
        <v/>
      </c>
      <c r="AY5" t="str">
        <f t="shared" si="23"/>
        <v/>
      </c>
      <c r="AZ5" t="str">
        <f t="shared" si="24"/>
        <v/>
      </c>
      <c r="BC5" s="1">
        <f t="shared" si="25"/>
        <v>41143</v>
      </c>
      <c r="BD5">
        <f t="shared" si="26"/>
        <v>903.99999999999989</v>
      </c>
      <c r="BE5">
        <f t="shared" si="27"/>
        <v>47.707368181818183</v>
      </c>
      <c r="BF5">
        <f t="shared" si="28"/>
        <v>29.614707272727273</v>
      </c>
      <c r="BG5">
        <f t="shared" si="29"/>
        <v>8.5910736363636371</v>
      </c>
      <c r="BH5">
        <f t="shared" si="33"/>
        <v>8.087299999999999</v>
      </c>
      <c r="BO5" s="3">
        <v>47.055590000000002</v>
      </c>
      <c r="BP5" s="3">
        <v>31.11964</v>
      </c>
      <c r="BQ5" s="3">
        <v>8.4536300000000004</v>
      </c>
      <c r="BR5" s="3">
        <v>8.7303800000000003</v>
      </c>
      <c r="BU5">
        <f t="shared" si="30"/>
        <v>22.277388211592047</v>
      </c>
      <c r="BV5">
        <f t="shared" si="31"/>
        <v>26.188300252218205</v>
      </c>
      <c r="BX5">
        <f t="shared" si="34"/>
        <v>51.917578739187078</v>
      </c>
      <c r="BY5">
        <f t="shared" si="35"/>
        <v>36.835176296956043</v>
      </c>
      <c r="CA5" s="1">
        <f t="shared" si="36"/>
        <v>41143</v>
      </c>
      <c r="CB5">
        <f t="shared" si="37"/>
        <v>58.496864371189929</v>
      </c>
      <c r="CC5">
        <f t="shared" si="38"/>
        <v>41.503135628810071</v>
      </c>
      <c r="CG5" t="s">
        <v>6</v>
      </c>
      <c r="CH5">
        <v>0.41</v>
      </c>
    </row>
    <row r="6" spans="1:86" ht="15.75" thickBot="1" x14ac:dyDescent="0.3">
      <c r="A6" s="1">
        <v>41166</v>
      </c>
      <c r="B6" s="1" t="s">
        <v>6</v>
      </c>
      <c r="C6">
        <v>1100</v>
      </c>
      <c r="D6">
        <f t="shared" ref="D6:D56" si="39">INDEX(CH$3:CH$6,MATCH(B6,CG$3:CG$6,0))</f>
        <v>0.41</v>
      </c>
      <c r="E6">
        <v>44.7</v>
      </c>
      <c r="F6">
        <v>34.699999999999996</v>
      </c>
      <c r="G6">
        <v>7.0000000000000009</v>
      </c>
      <c r="I6">
        <v>9.4</v>
      </c>
      <c r="J6">
        <f>E6+((100-(E6+F6))*K6)</f>
        <v>55.760345999999998</v>
      </c>
      <c r="K6" s="7">
        <v>0.53691</v>
      </c>
      <c r="L6" s="7"/>
      <c r="M6" s="1" t="str">
        <f t="shared" si="1"/>
        <v/>
      </c>
      <c r="N6" t="str">
        <f t="shared" si="2"/>
        <v/>
      </c>
      <c r="O6" t="str">
        <f t="shared" si="3"/>
        <v/>
      </c>
      <c r="S6" s="2">
        <f t="shared" si="4"/>
        <v>41166</v>
      </c>
      <c r="T6">
        <f t="shared" si="5"/>
        <v>451</v>
      </c>
      <c r="U6">
        <f t="shared" si="6"/>
        <v>0.69117647058823561</v>
      </c>
      <c r="V6" s="3">
        <v>0.61973999999999996</v>
      </c>
      <c r="W6" s="5">
        <f>V6</f>
        <v>0.61973999999999996</v>
      </c>
      <c r="X6" s="3"/>
      <c r="Y6" s="1">
        <f t="shared" si="7"/>
        <v>41166</v>
      </c>
      <c r="Z6">
        <f t="shared" si="8"/>
        <v>451</v>
      </c>
      <c r="AA6">
        <f t="shared" si="9"/>
        <v>44.7</v>
      </c>
      <c r="AB6">
        <f t="shared" si="10"/>
        <v>34.699999999999996</v>
      </c>
      <c r="AC6">
        <f t="shared" si="11"/>
        <v>7.0000000000000009</v>
      </c>
      <c r="AD6">
        <f t="shared" si="12"/>
        <v>55.760345999999998</v>
      </c>
      <c r="AF6" s="3">
        <v>45.287019999999998</v>
      </c>
      <c r="AG6" s="3">
        <v>31.57977</v>
      </c>
      <c r="AH6" s="3">
        <v>8.5454600000000003</v>
      </c>
      <c r="AJ6" s="3">
        <f t="shared" si="32"/>
        <v>9.0406121849999987</v>
      </c>
      <c r="AL6" t="str">
        <f t="shared" si="13"/>
        <v/>
      </c>
      <c r="AM6" t="str">
        <f t="shared" si="14"/>
        <v/>
      </c>
      <c r="AN6" t="str">
        <f t="shared" si="15"/>
        <v/>
      </c>
      <c r="AP6">
        <f t="shared" si="16"/>
        <v>0.58701999999999543</v>
      </c>
      <c r="AQ6">
        <f t="shared" si="17"/>
        <v>-3.1202299999999958</v>
      </c>
      <c r="AR6">
        <f t="shared" si="18"/>
        <v>1.5454599999999994</v>
      </c>
      <c r="AT6" t="str">
        <f t="shared" si="19"/>
        <v/>
      </c>
      <c r="AU6" t="str">
        <f t="shared" si="20"/>
        <v/>
      </c>
      <c r="AV6" t="str">
        <f t="shared" si="21"/>
        <v/>
      </c>
      <c r="AX6" t="str">
        <f t="shared" si="22"/>
        <v/>
      </c>
      <c r="AY6" t="str">
        <f t="shared" si="23"/>
        <v/>
      </c>
      <c r="AZ6" t="str">
        <f t="shared" si="24"/>
        <v/>
      </c>
      <c r="BC6" s="1">
        <f t="shared" si="25"/>
        <v>41166</v>
      </c>
      <c r="BD6">
        <f t="shared" si="26"/>
        <v>451</v>
      </c>
      <c r="BE6">
        <f t="shared" si="27"/>
        <v>44.491269090909093</v>
      </c>
      <c r="BF6">
        <f t="shared" si="28"/>
        <v>34.502054545454541</v>
      </c>
      <c r="BG6">
        <f t="shared" si="29"/>
        <v>7.4452863636363649</v>
      </c>
      <c r="BH6">
        <f t="shared" si="33"/>
        <v>8.4284639999999964</v>
      </c>
      <c r="BO6" s="3">
        <v>45.832340000000002</v>
      </c>
      <c r="BP6" s="3">
        <v>31.565259999999999</v>
      </c>
      <c r="BQ6" s="3">
        <v>8.4021299999999997</v>
      </c>
      <c r="BR6" s="3">
        <v>9.1698199999999996</v>
      </c>
      <c r="BU6">
        <f t="shared" si="30"/>
        <v>22.338796591339197</v>
      </c>
      <c r="BV6">
        <f t="shared" si="31"/>
        <v>25.859120873498917</v>
      </c>
      <c r="BX6">
        <f t="shared" si="34"/>
        <v>50.88144416076085</v>
      </c>
      <c r="BY6">
        <f t="shared" si="35"/>
        <v>37.410041936311714</v>
      </c>
      <c r="CA6" s="1">
        <f t="shared" si="36"/>
        <v>41166</v>
      </c>
      <c r="CB6">
        <f t="shared" si="37"/>
        <v>57.62893616358317</v>
      </c>
      <c r="CC6">
        <f t="shared" si="38"/>
        <v>42.371063836416837</v>
      </c>
      <c r="CG6" t="s">
        <v>9</v>
      </c>
      <c r="CH6">
        <v>0.56999999999999995</v>
      </c>
    </row>
    <row r="7" spans="1:86" x14ac:dyDescent="0.25">
      <c r="A7" s="1">
        <v>41194</v>
      </c>
      <c r="B7" s="1" t="s">
        <v>6</v>
      </c>
      <c r="C7">
        <v>1100</v>
      </c>
      <c r="D7">
        <f t="shared" si="39"/>
        <v>0.41</v>
      </c>
      <c r="E7">
        <v>44.6</v>
      </c>
      <c r="F7">
        <v>30.5</v>
      </c>
      <c r="G7">
        <v>7.5</v>
      </c>
      <c r="I7">
        <v>11</v>
      </c>
      <c r="J7">
        <f>E7+((100-(E7+F7))*K7)</f>
        <v>57.747947000000003</v>
      </c>
      <c r="K7" s="7">
        <v>0.52803</v>
      </c>
      <c r="L7" s="7"/>
      <c r="M7" s="1" t="str">
        <f t="shared" si="1"/>
        <v/>
      </c>
      <c r="N7" t="str">
        <f t="shared" si="2"/>
        <v/>
      </c>
      <c r="O7" t="str">
        <f t="shared" si="3"/>
        <v/>
      </c>
      <c r="S7" s="2">
        <f t="shared" si="4"/>
        <v>41194</v>
      </c>
      <c r="T7">
        <f t="shared" si="5"/>
        <v>451</v>
      </c>
      <c r="U7">
        <f t="shared" si="6"/>
        <v>0.63218390804597679</v>
      </c>
      <c r="V7" s="3">
        <v>0.61563000000000001</v>
      </c>
      <c r="W7" s="5">
        <f>V7</f>
        <v>0.61563000000000001</v>
      </c>
      <c r="X7" s="3"/>
      <c r="Y7" s="1">
        <f t="shared" si="7"/>
        <v>41194</v>
      </c>
      <c r="Z7">
        <f t="shared" si="8"/>
        <v>451</v>
      </c>
      <c r="AA7">
        <f t="shared" si="9"/>
        <v>44.6</v>
      </c>
      <c r="AB7">
        <f t="shared" si="10"/>
        <v>30.5</v>
      </c>
      <c r="AC7">
        <f t="shared" si="11"/>
        <v>7.5</v>
      </c>
      <c r="AD7">
        <f t="shared" si="12"/>
        <v>57.747947000000003</v>
      </c>
      <c r="AF7" s="3">
        <v>44.064279999999997</v>
      </c>
      <c r="AG7" s="3">
        <v>32.195529999999998</v>
      </c>
      <c r="AH7" s="3">
        <v>8.4684699999999999</v>
      </c>
      <c r="AJ7" s="3">
        <f t="shared" si="32"/>
        <v>9.4017289836000106</v>
      </c>
      <c r="AL7" t="str">
        <f t="shared" si="13"/>
        <v/>
      </c>
      <c r="AM7" t="str">
        <f t="shared" si="14"/>
        <v/>
      </c>
      <c r="AN7" t="str">
        <f t="shared" si="15"/>
        <v/>
      </c>
      <c r="AP7">
        <f t="shared" si="16"/>
        <v>-0.53572000000000486</v>
      </c>
      <c r="AQ7">
        <f t="shared" si="17"/>
        <v>1.695529999999998</v>
      </c>
      <c r="AR7">
        <f t="shared" si="18"/>
        <v>0.96846999999999994</v>
      </c>
      <c r="AT7" t="str">
        <f t="shared" si="19"/>
        <v/>
      </c>
      <c r="AU7" t="str">
        <f t="shared" si="20"/>
        <v/>
      </c>
      <c r="AV7" t="str">
        <f t="shared" si="21"/>
        <v/>
      </c>
      <c r="AX7" t="str">
        <f t="shared" si="22"/>
        <v/>
      </c>
      <c r="AY7" t="str">
        <f t="shared" si="23"/>
        <v/>
      </c>
      <c r="AZ7" t="str">
        <f t="shared" si="24"/>
        <v/>
      </c>
      <c r="BC7" s="1">
        <f t="shared" si="25"/>
        <v>41194</v>
      </c>
      <c r="BD7">
        <f t="shared" si="26"/>
        <v>451</v>
      </c>
      <c r="BE7">
        <f t="shared" si="27"/>
        <v>44.391269090909091</v>
      </c>
      <c r="BF7">
        <f t="shared" si="28"/>
        <v>30.302054545454546</v>
      </c>
      <c r="BG7">
        <f t="shared" si="29"/>
        <v>7.945286363636364</v>
      </c>
      <c r="BH7">
        <f t="shared" si="33"/>
        <v>10.711962000000003</v>
      </c>
      <c r="BO7" s="3">
        <v>44.390639999999998</v>
      </c>
      <c r="BP7" s="3">
        <v>32.121969999999997</v>
      </c>
      <c r="BQ7" s="3">
        <v>8.3394300000000001</v>
      </c>
      <c r="BR7" s="3">
        <v>9.7047899999999991</v>
      </c>
      <c r="BU7">
        <f t="shared" si="30"/>
        <v>22.390481202256527</v>
      </c>
      <c r="BV7">
        <f t="shared" si="31"/>
        <v>25.539919353955355</v>
      </c>
      <c r="BX7">
        <f t="shared" si="34"/>
        <v>49.649579642850675</v>
      </c>
      <c r="BY7">
        <f t="shared" si="35"/>
        <v>38.12063046434897</v>
      </c>
      <c r="CA7" s="1">
        <f t="shared" si="36"/>
        <v>41194</v>
      </c>
      <c r="CB7">
        <f t="shared" si="37"/>
        <v>56.567689176327953</v>
      </c>
      <c r="CC7">
        <f t="shared" si="38"/>
        <v>43.432310823672047</v>
      </c>
    </row>
    <row r="8" spans="1:86" s="8" customFormat="1" ht="15.75" thickBot="1" x14ac:dyDescent="0.3">
      <c r="A8" s="2">
        <v>41222</v>
      </c>
      <c r="B8" s="8" t="s">
        <v>8</v>
      </c>
      <c r="C8" s="8">
        <v>1136</v>
      </c>
      <c r="D8">
        <f t="shared" si="39"/>
        <v>1</v>
      </c>
      <c r="E8" s="8">
        <v>42</v>
      </c>
      <c r="F8" s="8">
        <v>31</v>
      </c>
      <c r="G8" s="8">
        <v>8</v>
      </c>
      <c r="J8" s="8">
        <v>56</v>
      </c>
      <c r="K8">
        <f t="shared" si="0"/>
        <v>0.51851851851851849</v>
      </c>
      <c r="L8"/>
      <c r="M8" s="2" t="str">
        <f>IF(H8&lt;&gt;"",A8,"")</f>
        <v/>
      </c>
      <c r="N8" s="8" t="str">
        <f>IF(H8&lt;&gt;"",C8*D8,"")</f>
        <v/>
      </c>
      <c r="O8" s="8" t="str">
        <f>IF(H8&lt;&gt;"",H8/(100-SUM(E8:G8)),"")</f>
        <v/>
      </c>
      <c r="S8" s="2" t="str">
        <f t="shared" si="4"/>
        <v/>
      </c>
      <c r="T8" t="str">
        <f t="shared" si="5"/>
        <v/>
      </c>
      <c r="U8" t="str">
        <f t="shared" si="6"/>
        <v/>
      </c>
      <c r="W8">
        <f>W7+((($A8-$A7)/(S9-S7))*(W9-W7))</f>
        <v>0.61151666666666671</v>
      </c>
      <c r="Y8" s="1">
        <f t="shared" si="7"/>
        <v>41222</v>
      </c>
      <c r="Z8">
        <f t="shared" si="8"/>
        <v>1136</v>
      </c>
      <c r="AA8">
        <f t="shared" si="9"/>
        <v>42</v>
      </c>
      <c r="AB8">
        <f t="shared" si="10"/>
        <v>31</v>
      </c>
      <c r="AC8">
        <f t="shared" si="11"/>
        <v>8</v>
      </c>
      <c r="AD8">
        <f t="shared" si="12"/>
        <v>56</v>
      </c>
      <c r="AE8"/>
      <c r="AF8" s="3">
        <v>42.841540000000002</v>
      </c>
      <c r="AG8" s="3">
        <v>32.811300000000003</v>
      </c>
      <c r="AH8" s="3">
        <v>8.3914799999999996</v>
      </c>
      <c r="AI8"/>
      <c r="AJ8" s="3">
        <f t="shared" si="32"/>
        <v>9.7571642480000005</v>
      </c>
      <c r="AL8">
        <f t="shared" si="13"/>
        <v>0.84154000000000195</v>
      </c>
      <c r="AM8">
        <f t="shared" si="14"/>
        <v>1.8113000000000028</v>
      </c>
      <c r="AN8">
        <f t="shared" si="15"/>
        <v>0.39147999999999961</v>
      </c>
      <c r="AO8"/>
      <c r="AP8" t="str">
        <f t="shared" si="16"/>
        <v/>
      </c>
      <c r="AQ8" t="str">
        <f t="shared" si="17"/>
        <v/>
      </c>
      <c r="AR8" t="str">
        <f t="shared" si="18"/>
        <v/>
      </c>
      <c r="AS8"/>
      <c r="AT8" t="str">
        <f t="shared" si="19"/>
        <v/>
      </c>
      <c r="AU8" t="str">
        <f t="shared" si="20"/>
        <v/>
      </c>
      <c r="AV8" t="str">
        <f t="shared" si="21"/>
        <v/>
      </c>
      <c r="AW8"/>
      <c r="AX8" t="str">
        <f t="shared" si="22"/>
        <v/>
      </c>
      <c r="AY8" t="str">
        <f t="shared" si="23"/>
        <v/>
      </c>
      <c r="AZ8" t="str">
        <f t="shared" si="24"/>
        <v/>
      </c>
      <c r="BC8" s="1">
        <f t="shared" si="25"/>
        <v>41222</v>
      </c>
      <c r="BD8">
        <f t="shared" si="26"/>
        <v>1136</v>
      </c>
      <c r="BE8">
        <f t="shared" si="27"/>
        <v>42.828401818181817</v>
      </c>
      <c r="BF8">
        <f t="shared" si="28"/>
        <v>32.370295454545456</v>
      </c>
      <c r="BG8">
        <f t="shared" si="29"/>
        <v>7.5798372727272731</v>
      </c>
      <c r="BH8">
        <f t="shared" si="33"/>
        <v>11.618816666666667</v>
      </c>
      <c r="BI8"/>
      <c r="BJ8"/>
      <c r="BK8"/>
      <c r="BL8"/>
      <c r="BO8" s="3">
        <v>42.94894</v>
      </c>
      <c r="BP8" s="3">
        <v>32.678690000000003</v>
      </c>
      <c r="BQ8" s="3">
        <v>8.2767400000000002</v>
      </c>
      <c r="BR8" s="3">
        <v>10.11904</v>
      </c>
      <c r="BU8">
        <f t="shared" si="30"/>
        <v>22.428156597307595</v>
      </c>
      <c r="BV8">
        <f t="shared" si="31"/>
        <v>25.267874055299622</v>
      </c>
      <c r="BX8">
        <f t="shared" si="34"/>
        <v>48.415213310075217</v>
      </c>
      <c r="BY8">
        <f t="shared" si="35"/>
        <v>38.837069755891626</v>
      </c>
      <c r="CA8" s="1">
        <f t="shared" si="36"/>
        <v>41222</v>
      </c>
      <c r="CB8">
        <f t="shared" si="37"/>
        <v>55.488763856724553</v>
      </c>
      <c r="CC8">
        <f t="shared" si="38"/>
        <v>44.511236143275433</v>
      </c>
    </row>
    <row r="9" spans="1:86" ht="15.75" thickBot="1" x14ac:dyDescent="0.3">
      <c r="A9" s="1">
        <v>41236</v>
      </c>
      <c r="B9" s="1" t="s">
        <v>6</v>
      </c>
      <c r="C9">
        <v>1123</v>
      </c>
      <c r="D9">
        <f t="shared" si="39"/>
        <v>0.41</v>
      </c>
      <c r="E9">
        <v>42</v>
      </c>
      <c r="F9">
        <v>34.200000000000003</v>
      </c>
      <c r="G9">
        <v>9.5</v>
      </c>
      <c r="I9">
        <v>8.9</v>
      </c>
      <c r="J9">
        <f>E9+((100-(E9+F9))*K9)</f>
        <v>54.363147999999995</v>
      </c>
      <c r="K9" s="7">
        <v>0.51946000000000003</v>
      </c>
      <c r="L9" s="7"/>
      <c r="M9" s="1" t="str">
        <f t="shared" si="1"/>
        <v/>
      </c>
      <c r="N9" t="str">
        <f t="shared" si="2"/>
        <v/>
      </c>
      <c r="O9" t="str">
        <f t="shared" si="3"/>
        <v/>
      </c>
      <c r="S9" s="2">
        <f t="shared" si="4"/>
        <v>41236</v>
      </c>
      <c r="T9">
        <f t="shared" si="5"/>
        <v>460.42999999999995</v>
      </c>
      <c r="U9">
        <f t="shared" si="6"/>
        <v>0.62237762237762251</v>
      </c>
      <c r="V9" s="3">
        <v>0.60946</v>
      </c>
      <c r="W9" s="5">
        <f t="shared" ref="W9:W14" si="40">V9</f>
        <v>0.60946</v>
      </c>
      <c r="X9" s="3"/>
      <c r="Y9" s="1">
        <f t="shared" si="7"/>
        <v>41236</v>
      </c>
      <c r="Z9">
        <f t="shared" si="8"/>
        <v>460.42999999999995</v>
      </c>
      <c r="AA9">
        <f t="shared" si="9"/>
        <v>42</v>
      </c>
      <c r="AB9">
        <f t="shared" si="10"/>
        <v>34.200000000000003</v>
      </c>
      <c r="AC9">
        <f t="shared" si="11"/>
        <v>9.5</v>
      </c>
      <c r="AD9">
        <f t="shared" si="12"/>
        <v>54.363147999999995</v>
      </c>
      <c r="AF9" s="3">
        <v>42.456240000000001</v>
      </c>
      <c r="AG9" s="3">
        <v>32.984430000000003</v>
      </c>
      <c r="AH9" s="3">
        <v>8.3529900000000001</v>
      </c>
      <c r="AJ9" s="3">
        <f t="shared" si="32"/>
        <v>9.8771159763999901</v>
      </c>
      <c r="AL9" t="str">
        <f t="shared" si="13"/>
        <v/>
      </c>
      <c r="AM9" t="str">
        <f t="shared" si="14"/>
        <v/>
      </c>
      <c r="AN9" t="str">
        <f t="shared" si="15"/>
        <v/>
      </c>
      <c r="AP9">
        <f t="shared" si="16"/>
        <v>0.45624000000000109</v>
      </c>
      <c r="AQ9">
        <f t="shared" si="17"/>
        <v>-1.2155699999999996</v>
      </c>
      <c r="AR9">
        <f t="shared" si="18"/>
        <v>-1.1470099999999999</v>
      </c>
      <c r="AT9" t="str">
        <f t="shared" si="19"/>
        <v/>
      </c>
      <c r="AU9" t="str">
        <f t="shared" si="20"/>
        <v/>
      </c>
      <c r="AV9" t="str">
        <f t="shared" si="21"/>
        <v/>
      </c>
      <c r="AX9" t="str">
        <f t="shared" si="22"/>
        <v/>
      </c>
      <c r="AY9" t="str">
        <f t="shared" si="23"/>
        <v/>
      </c>
      <c r="AZ9" t="str">
        <f t="shared" si="24"/>
        <v/>
      </c>
      <c r="BC9" s="1">
        <f t="shared" si="25"/>
        <v>41236</v>
      </c>
      <c r="BD9">
        <f t="shared" si="26"/>
        <v>460.42999999999995</v>
      </c>
      <c r="BE9">
        <f t="shared" si="27"/>
        <v>41.79126909090909</v>
      </c>
      <c r="BF9">
        <f t="shared" si="28"/>
        <v>34.002054545454548</v>
      </c>
      <c r="BG9">
        <f t="shared" si="29"/>
        <v>9.9452863636363631</v>
      </c>
      <c r="BH9">
        <f t="shared" si="33"/>
        <v>8.7152779999999979</v>
      </c>
      <c r="BO9" s="3">
        <v>42.599829999999997</v>
      </c>
      <c r="BP9" s="3">
        <v>32.903410000000001</v>
      </c>
      <c r="BQ9" s="3">
        <v>8.2453900000000004</v>
      </c>
      <c r="BR9" s="3">
        <v>10.326169999999999</v>
      </c>
      <c r="BU9">
        <f t="shared" si="30"/>
        <v>22.423871413897352</v>
      </c>
      <c r="BV9">
        <f t="shared" si="31"/>
        <v>25.242146083213445</v>
      </c>
      <c r="BX9">
        <f t="shared" si="34"/>
        <v>48.092951962971036</v>
      </c>
      <c r="BY9">
        <f t="shared" si="35"/>
        <v>39.0869179448542</v>
      </c>
      <c r="CA9" s="1">
        <f t="shared" si="36"/>
        <v>41236</v>
      </c>
      <c r="CB9">
        <f t="shared" si="37"/>
        <v>55.165202716888004</v>
      </c>
      <c r="CC9">
        <f t="shared" si="38"/>
        <v>44.834797283111996</v>
      </c>
    </row>
    <row r="10" spans="1:86" ht="15.75" thickBot="1" x14ac:dyDescent="0.3">
      <c r="A10" s="1">
        <v>41244</v>
      </c>
      <c r="B10" t="s">
        <v>9</v>
      </c>
      <c r="C10">
        <v>719</v>
      </c>
      <c r="D10">
        <f t="shared" si="39"/>
        <v>0.56999999999999995</v>
      </c>
      <c r="E10">
        <v>41</v>
      </c>
      <c r="F10">
        <v>35</v>
      </c>
      <c r="G10">
        <v>8</v>
      </c>
      <c r="I10">
        <v>7</v>
      </c>
      <c r="J10">
        <v>53</v>
      </c>
      <c r="K10">
        <f>(J10-E10)/(100-(E10+F10))</f>
        <v>0.5</v>
      </c>
      <c r="M10" s="1" t="str">
        <f>IF(H10&lt;&gt;"",A10,"")</f>
        <v/>
      </c>
      <c r="N10" t="str">
        <f>IF(H10&lt;&gt;"",C10*D10,"")</f>
        <v/>
      </c>
      <c r="O10" t="str">
        <f>IF(H10&lt;&gt;"",H10/(100-SUM(E10:G10)),"")</f>
        <v/>
      </c>
      <c r="S10" s="2">
        <f>IF(I10&lt;&gt;"",A10,"")</f>
        <v>41244</v>
      </c>
      <c r="T10">
        <f>IF(I10&lt;&gt;"",C10*D10,"")</f>
        <v>409.83</v>
      </c>
      <c r="U10">
        <f>IF(I10&lt;&gt;"",I10/(100-SUM(E10:G10)),"")</f>
        <v>0.4375</v>
      </c>
      <c r="V10" s="3">
        <v>0.60784000000000005</v>
      </c>
      <c r="W10" s="5">
        <f t="shared" si="40"/>
        <v>0.60784000000000005</v>
      </c>
      <c r="X10" s="3"/>
      <c r="Y10" s="1">
        <f>A10</f>
        <v>41244</v>
      </c>
      <c r="Z10">
        <f>C10*D10</f>
        <v>409.83</v>
      </c>
      <c r="AA10">
        <f>E10</f>
        <v>41</v>
      </c>
      <c r="AB10">
        <f>F10</f>
        <v>35</v>
      </c>
      <c r="AC10">
        <f>G10</f>
        <v>8</v>
      </c>
      <c r="AD10">
        <f>J10</f>
        <v>53</v>
      </c>
      <c r="AF10" s="3">
        <v>42.660240000000002</v>
      </c>
      <c r="AG10" s="3">
        <v>33.006030000000003</v>
      </c>
      <c r="AH10" s="3">
        <v>8.3300800000000006</v>
      </c>
      <c r="AJ10" s="3">
        <f t="shared" si="32"/>
        <v>9.7276586160000047</v>
      </c>
      <c r="AL10" t="str">
        <f t="shared" si="13"/>
        <v/>
      </c>
      <c r="AM10" t="str">
        <f t="shared" si="14"/>
        <v/>
      </c>
      <c r="AN10" t="str">
        <f t="shared" si="15"/>
        <v/>
      </c>
      <c r="AP10" t="str">
        <f t="shared" si="16"/>
        <v/>
      </c>
      <c r="AQ10" t="str">
        <f t="shared" si="17"/>
        <v/>
      </c>
      <c r="AR10" t="str">
        <f t="shared" si="18"/>
        <v/>
      </c>
      <c r="AT10" t="str">
        <f t="shared" si="19"/>
        <v/>
      </c>
      <c r="AU10" t="str">
        <f t="shared" si="20"/>
        <v/>
      </c>
      <c r="AV10" t="str">
        <f t="shared" si="21"/>
        <v/>
      </c>
      <c r="AX10">
        <f t="shared" si="22"/>
        <v>1.6602400000000017</v>
      </c>
      <c r="AY10">
        <f t="shared" si="23"/>
        <v>-1.9939699999999974</v>
      </c>
      <c r="AZ10">
        <f t="shared" si="24"/>
        <v>0.3300800000000006</v>
      </c>
      <c r="BC10" s="1">
        <f t="shared" si="25"/>
        <v>41244</v>
      </c>
      <c r="BD10">
        <f t="shared" si="26"/>
        <v>409.83</v>
      </c>
      <c r="BE10">
        <f t="shared" si="27"/>
        <v>41.298102</v>
      </c>
      <c r="BF10">
        <f t="shared" si="28"/>
        <v>34.412413000000001</v>
      </c>
      <c r="BG10">
        <f t="shared" si="29"/>
        <v>8.2179549999999999</v>
      </c>
      <c r="BH10">
        <f t="shared" si="33"/>
        <v>9.7254400000000008</v>
      </c>
      <c r="BO10" s="3">
        <v>42.895020000000002</v>
      </c>
      <c r="BP10" s="3">
        <v>32.783729999999998</v>
      </c>
      <c r="BQ10" s="3">
        <v>8.2278599999999997</v>
      </c>
      <c r="BR10" s="3">
        <v>10.220129999999999</v>
      </c>
      <c r="BU10">
        <f t="shared" si="30"/>
        <v>22.430713182588157</v>
      </c>
      <c r="BV10">
        <f t="shared" si="31"/>
        <v>25.246479845402398</v>
      </c>
      <c r="BX10">
        <f t="shared" si="34"/>
        <v>48.350449829920223</v>
      </c>
      <c r="BY10">
        <f t="shared" si="35"/>
        <v>38.923989479399928</v>
      </c>
      <c r="CA10" s="1">
        <f t="shared" si="36"/>
        <v>41244</v>
      </c>
      <c r="CB10">
        <f t="shared" si="37"/>
        <v>55.400470300995472</v>
      </c>
      <c r="CC10">
        <f t="shared" si="38"/>
        <v>44.599529699004535</v>
      </c>
    </row>
    <row r="11" spans="1:86" ht="15.75" thickBot="1" x14ac:dyDescent="0.3">
      <c r="A11" s="1">
        <v>41257</v>
      </c>
      <c r="B11" s="1" t="s">
        <v>6</v>
      </c>
      <c r="C11">
        <v>1134</v>
      </c>
      <c r="D11">
        <f t="shared" si="39"/>
        <v>0.41</v>
      </c>
      <c r="E11">
        <v>41.9</v>
      </c>
      <c r="F11">
        <v>32.1</v>
      </c>
      <c r="G11">
        <v>8.2000000000000011</v>
      </c>
      <c r="I11">
        <v>12.1</v>
      </c>
      <c r="J11">
        <f>E11+((100-(E11+F11))*K11)</f>
        <v>55.451719999999995</v>
      </c>
      <c r="K11" s="7">
        <v>0.52122000000000002</v>
      </c>
      <c r="L11" s="7"/>
      <c r="M11" s="1" t="str">
        <f t="shared" si="1"/>
        <v/>
      </c>
      <c r="N11" t="str">
        <f t="shared" si="2"/>
        <v/>
      </c>
      <c r="O11" t="str">
        <f t="shared" si="3"/>
        <v/>
      </c>
      <c r="S11" s="2">
        <f t="shared" si="4"/>
        <v>41257</v>
      </c>
      <c r="T11">
        <f t="shared" si="5"/>
        <v>464.94</v>
      </c>
      <c r="U11">
        <f t="shared" si="6"/>
        <v>0.67977528089887651</v>
      </c>
      <c r="V11" s="3">
        <v>0.60521000000000003</v>
      </c>
      <c r="W11" s="5">
        <f t="shared" si="40"/>
        <v>0.60521000000000003</v>
      </c>
      <c r="X11" s="3"/>
      <c r="Y11" s="1">
        <f t="shared" si="7"/>
        <v>41257</v>
      </c>
      <c r="Z11">
        <f t="shared" si="8"/>
        <v>464.94</v>
      </c>
      <c r="AA11">
        <f t="shared" si="9"/>
        <v>41.9</v>
      </c>
      <c r="AB11">
        <f t="shared" si="10"/>
        <v>32.1</v>
      </c>
      <c r="AC11">
        <f t="shared" si="11"/>
        <v>8.2000000000000011</v>
      </c>
      <c r="AD11">
        <f t="shared" si="12"/>
        <v>55.451719999999995</v>
      </c>
      <c r="AF11" s="3">
        <v>42.991729999999997</v>
      </c>
      <c r="AG11" s="3">
        <v>33.041150000000002</v>
      </c>
      <c r="AH11" s="3">
        <v>8.2928499999999996</v>
      </c>
      <c r="AJ11" s="3">
        <f t="shared" si="32"/>
        <v>9.4862249466999966</v>
      </c>
      <c r="AL11" t="str">
        <f t="shared" si="13"/>
        <v/>
      </c>
      <c r="AM11" t="str">
        <f t="shared" si="14"/>
        <v/>
      </c>
      <c r="AN11" t="str">
        <f t="shared" si="15"/>
        <v/>
      </c>
      <c r="AP11">
        <f t="shared" si="16"/>
        <v>1.0917299999999983</v>
      </c>
      <c r="AQ11">
        <f t="shared" si="17"/>
        <v>0.94115000000000038</v>
      </c>
      <c r="AR11">
        <f t="shared" si="18"/>
        <v>9.2849999999998545E-2</v>
      </c>
      <c r="AT11" t="str">
        <f t="shared" si="19"/>
        <v/>
      </c>
      <c r="AU11" t="str">
        <f t="shared" si="20"/>
        <v/>
      </c>
      <c r="AV11" t="str">
        <f t="shared" si="21"/>
        <v/>
      </c>
      <c r="AX11" t="str">
        <f t="shared" si="22"/>
        <v/>
      </c>
      <c r="AY11" t="str">
        <f t="shared" si="23"/>
        <v/>
      </c>
      <c r="AZ11" t="str">
        <f t="shared" si="24"/>
        <v/>
      </c>
      <c r="BC11" s="1">
        <f t="shared" si="25"/>
        <v>41257</v>
      </c>
      <c r="BD11">
        <f t="shared" si="26"/>
        <v>464.94</v>
      </c>
      <c r="BE11">
        <f t="shared" si="27"/>
        <v>41.691269090909088</v>
      </c>
      <c r="BF11">
        <f t="shared" si="28"/>
        <v>31.902054545454547</v>
      </c>
      <c r="BG11">
        <f t="shared" si="29"/>
        <v>8.6452863636363642</v>
      </c>
      <c r="BH11">
        <f t="shared" si="33"/>
        <v>10.772737999999999</v>
      </c>
      <c r="BO11" s="3">
        <v>43.374679999999998</v>
      </c>
      <c r="BP11" s="3">
        <v>32.58925</v>
      </c>
      <c r="BQ11" s="3">
        <v>8.1993600000000004</v>
      </c>
      <c r="BR11" s="3">
        <v>10.061159999999999</v>
      </c>
      <c r="BU11">
        <f t="shared" si="30"/>
        <v>22.441105688311396</v>
      </c>
      <c r="BV11">
        <f t="shared" si="31"/>
        <v>25.255839659600277</v>
      </c>
      <c r="BX11">
        <f t="shared" si="34"/>
        <v>48.768639872016507</v>
      </c>
      <c r="BY11">
        <f t="shared" si="35"/>
        <v>38.659761299669285</v>
      </c>
      <c r="CA11" s="1">
        <f t="shared" si="36"/>
        <v>41257</v>
      </c>
      <c r="CB11">
        <f t="shared" si="37"/>
        <v>55.781232664026483</v>
      </c>
      <c r="CC11">
        <f t="shared" si="38"/>
        <v>44.218767335973517</v>
      </c>
    </row>
    <row r="12" spans="1:86" ht="15.75" thickBot="1" x14ac:dyDescent="0.3">
      <c r="A12" s="1">
        <v>41287</v>
      </c>
      <c r="B12" s="1" t="s">
        <v>6</v>
      </c>
      <c r="C12">
        <v>1062</v>
      </c>
      <c r="D12">
        <f t="shared" si="39"/>
        <v>0.41</v>
      </c>
      <c r="E12">
        <v>42.5</v>
      </c>
      <c r="F12">
        <v>34.9</v>
      </c>
      <c r="G12">
        <v>8.4</v>
      </c>
      <c r="I12">
        <v>10.5</v>
      </c>
      <c r="J12">
        <f>E12+((100-(E12+F12))*K12)</f>
        <v>54.444099999999999</v>
      </c>
      <c r="K12" s="7">
        <v>0.52849999999999997</v>
      </c>
      <c r="L12" s="7"/>
      <c r="M12" s="1" t="str">
        <f t="shared" si="1"/>
        <v/>
      </c>
      <c r="N12" t="str">
        <f t="shared" si="2"/>
        <v/>
      </c>
      <c r="O12" t="str">
        <f t="shared" si="3"/>
        <v/>
      </c>
      <c r="S12" s="2">
        <f t="shared" si="4"/>
        <v>41287</v>
      </c>
      <c r="T12">
        <f t="shared" si="5"/>
        <v>435.41999999999996</v>
      </c>
      <c r="U12">
        <f t="shared" si="6"/>
        <v>0.73943661971831043</v>
      </c>
      <c r="V12" s="3">
        <v>0.59914999999999996</v>
      </c>
      <c r="W12" s="5">
        <f t="shared" si="40"/>
        <v>0.59914999999999996</v>
      </c>
      <c r="X12" s="3"/>
      <c r="Y12" s="1">
        <f t="shared" si="7"/>
        <v>41287</v>
      </c>
      <c r="Z12">
        <f t="shared" si="8"/>
        <v>435.41999999999996</v>
      </c>
      <c r="AA12">
        <f t="shared" si="9"/>
        <v>42.5</v>
      </c>
      <c r="AB12">
        <f t="shared" si="10"/>
        <v>34.9</v>
      </c>
      <c r="AC12">
        <f t="shared" si="11"/>
        <v>8.4</v>
      </c>
      <c r="AD12">
        <f t="shared" si="12"/>
        <v>54.444099999999999</v>
      </c>
      <c r="AF12" s="3">
        <v>44.047139999999999</v>
      </c>
      <c r="AG12" s="3">
        <v>32.048839999999998</v>
      </c>
      <c r="AH12" s="3">
        <v>8.2069299999999998</v>
      </c>
      <c r="AJ12" s="3">
        <f t="shared" si="32"/>
        <v>9.4049114735000003</v>
      </c>
      <c r="AL12" t="str">
        <f t="shared" si="13"/>
        <v/>
      </c>
      <c r="AM12" t="str">
        <f t="shared" si="14"/>
        <v/>
      </c>
      <c r="AN12" t="str">
        <f t="shared" si="15"/>
        <v/>
      </c>
      <c r="AP12">
        <f t="shared" si="16"/>
        <v>1.5471399999999988</v>
      </c>
      <c r="AQ12">
        <f t="shared" si="17"/>
        <v>-2.8511600000000001</v>
      </c>
      <c r="AR12">
        <f t="shared" si="18"/>
        <v>-0.19307000000000052</v>
      </c>
      <c r="AT12" t="str">
        <f t="shared" si="19"/>
        <v/>
      </c>
      <c r="AU12" t="str">
        <f t="shared" si="20"/>
        <v/>
      </c>
      <c r="AV12" t="str">
        <f t="shared" si="21"/>
        <v/>
      </c>
      <c r="AX12" t="str">
        <f t="shared" si="22"/>
        <v/>
      </c>
      <c r="AY12" t="str">
        <f t="shared" si="23"/>
        <v/>
      </c>
      <c r="AZ12" t="str">
        <f t="shared" si="24"/>
        <v/>
      </c>
      <c r="BC12" s="1">
        <f t="shared" si="25"/>
        <v>41287</v>
      </c>
      <c r="BD12">
        <f t="shared" si="26"/>
        <v>435.41999999999996</v>
      </c>
      <c r="BE12">
        <f t="shared" si="27"/>
        <v>42.29126909090909</v>
      </c>
      <c r="BF12">
        <f t="shared" si="28"/>
        <v>34.702054545454544</v>
      </c>
      <c r="BG12">
        <f t="shared" si="29"/>
        <v>8.8452863636363634</v>
      </c>
      <c r="BH12">
        <f t="shared" si="33"/>
        <v>8.5079299999999929</v>
      </c>
      <c r="BO12" s="3">
        <v>44.477809999999998</v>
      </c>
      <c r="BP12" s="3">
        <v>31.777629999999998</v>
      </c>
      <c r="BQ12" s="3">
        <v>8.1335899999999999</v>
      </c>
      <c r="BR12" s="3">
        <v>9.6942900000000005</v>
      </c>
      <c r="BU12">
        <f t="shared" si="30"/>
        <v>22.536956578037643</v>
      </c>
      <c r="BV12">
        <f t="shared" si="31"/>
        <v>25.048700725982119</v>
      </c>
      <c r="BX12">
        <f t="shared" si="34"/>
        <v>49.829111176846098</v>
      </c>
      <c r="BY12">
        <f t="shared" si="35"/>
        <v>37.725333773101262</v>
      </c>
      <c r="CA12" s="1">
        <f t="shared" si="36"/>
        <v>41287</v>
      </c>
      <c r="CB12">
        <f t="shared" si="37"/>
        <v>56.912143301613213</v>
      </c>
      <c r="CC12">
        <f t="shared" si="38"/>
        <v>43.08785669838678</v>
      </c>
    </row>
    <row r="13" spans="1:86" ht="15.75" thickBot="1" x14ac:dyDescent="0.3">
      <c r="A13" s="1">
        <v>41325</v>
      </c>
      <c r="B13" s="1" t="s">
        <v>7</v>
      </c>
      <c r="C13">
        <v>800</v>
      </c>
      <c r="D13">
        <f t="shared" si="39"/>
        <v>1.1299999999999999</v>
      </c>
      <c r="E13">
        <v>43</v>
      </c>
      <c r="F13">
        <v>34</v>
      </c>
      <c r="G13">
        <v>9</v>
      </c>
      <c r="I13">
        <v>8</v>
      </c>
      <c r="J13">
        <v>55</v>
      </c>
      <c r="K13">
        <f t="shared" si="0"/>
        <v>0.52173913043478259</v>
      </c>
      <c r="M13" s="1" t="str">
        <f t="shared" si="1"/>
        <v/>
      </c>
      <c r="N13" t="str">
        <f t="shared" si="2"/>
        <v/>
      </c>
      <c r="O13" t="str">
        <f t="shared" si="3"/>
        <v/>
      </c>
      <c r="S13" s="2">
        <f t="shared" si="4"/>
        <v>41325</v>
      </c>
      <c r="T13">
        <f t="shared" si="5"/>
        <v>903.99999999999989</v>
      </c>
      <c r="U13">
        <f t="shared" si="6"/>
        <v>0.5714285714285714</v>
      </c>
      <c r="V13" s="3">
        <v>0.59055000000000002</v>
      </c>
      <c r="W13" s="5">
        <f t="shared" si="40"/>
        <v>0.59055000000000002</v>
      </c>
      <c r="X13" s="3"/>
      <c r="Y13" s="1">
        <f t="shared" si="7"/>
        <v>41325</v>
      </c>
      <c r="Z13">
        <f t="shared" si="8"/>
        <v>903.99999999999989</v>
      </c>
      <c r="AA13">
        <f t="shared" si="9"/>
        <v>43</v>
      </c>
      <c r="AB13">
        <f t="shared" si="10"/>
        <v>34</v>
      </c>
      <c r="AC13">
        <f t="shared" si="11"/>
        <v>9</v>
      </c>
      <c r="AD13">
        <f t="shared" si="12"/>
        <v>55</v>
      </c>
      <c r="AF13" s="3">
        <v>45.383989999999997</v>
      </c>
      <c r="AG13" s="3">
        <v>30.791910000000001</v>
      </c>
      <c r="AH13" s="3">
        <v>8.0981100000000001</v>
      </c>
      <c r="AJ13" s="3">
        <f t="shared" si="32"/>
        <v>9.2869833944999982</v>
      </c>
      <c r="AL13" t="str">
        <f t="shared" si="13"/>
        <v/>
      </c>
      <c r="AM13" t="str">
        <f t="shared" si="14"/>
        <v/>
      </c>
      <c r="AN13" t="str">
        <f t="shared" si="15"/>
        <v/>
      </c>
      <c r="AP13" t="str">
        <f t="shared" si="16"/>
        <v/>
      </c>
      <c r="AQ13" t="str">
        <f t="shared" si="17"/>
        <v/>
      </c>
      <c r="AR13" t="str">
        <f t="shared" si="18"/>
        <v/>
      </c>
      <c r="AT13">
        <f t="shared" si="19"/>
        <v>2.3839899999999972</v>
      </c>
      <c r="AU13">
        <f t="shared" si="20"/>
        <v>-3.2080899999999986</v>
      </c>
      <c r="AV13">
        <f t="shared" si="21"/>
        <v>-0.90188999999999986</v>
      </c>
      <c r="AX13" t="str">
        <f t="shared" si="22"/>
        <v/>
      </c>
      <c r="AY13" t="str">
        <f t="shared" si="23"/>
        <v/>
      </c>
      <c r="AZ13" t="str">
        <f t="shared" si="24"/>
        <v/>
      </c>
      <c r="BC13" s="1">
        <f t="shared" si="25"/>
        <v>41325</v>
      </c>
      <c r="BD13">
        <f t="shared" si="26"/>
        <v>903.99999999999989</v>
      </c>
      <c r="BE13">
        <f t="shared" si="27"/>
        <v>42.707368181818183</v>
      </c>
      <c r="BF13">
        <f t="shared" si="28"/>
        <v>33.614707272727273</v>
      </c>
      <c r="BG13">
        <f t="shared" si="29"/>
        <v>8.5910736363636371</v>
      </c>
      <c r="BH13">
        <f t="shared" si="33"/>
        <v>8.2676999999999996</v>
      </c>
      <c r="BO13" s="3">
        <v>45.875100000000003</v>
      </c>
      <c r="BP13" s="3">
        <v>30.749580000000002</v>
      </c>
      <c r="BQ13" s="3">
        <v>8.0502800000000008</v>
      </c>
      <c r="BR13" s="3">
        <v>9.3456200000000003</v>
      </c>
      <c r="BU13">
        <f t="shared" si="30"/>
        <v>22.656692097914597</v>
      </c>
      <c r="BV13">
        <f t="shared" si="31"/>
        <v>24.790843148615188</v>
      </c>
      <c r="BX13">
        <f t="shared" si="34"/>
        <v>51.171174279302249</v>
      </c>
      <c r="BY13">
        <f t="shared" si="35"/>
        <v>36.544518916686876</v>
      </c>
      <c r="CA13" s="1">
        <f t="shared" si="36"/>
        <v>41325</v>
      </c>
      <c r="CB13">
        <f t="shared" si="37"/>
        <v>58.337536209133091</v>
      </c>
      <c r="CC13">
        <f t="shared" si="38"/>
        <v>41.662463790866902</v>
      </c>
    </row>
    <row r="14" spans="1:86" x14ac:dyDescent="0.25">
      <c r="A14" s="1">
        <v>41327</v>
      </c>
      <c r="B14" s="1" t="s">
        <v>6</v>
      </c>
      <c r="C14">
        <v>1073</v>
      </c>
      <c r="D14">
        <f t="shared" si="39"/>
        <v>0.41</v>
      </c>
      <c r="E14">
        <v>47.099999999999994</v>
      </c>
      <c r="F14">
        <v>28.9</v>
      </c>
      <c r="G14">
        <v>7.9</v>
      </c>
      <c r="I14">
        <v>11.5</v>
      </c>
      <c r="J14">
        <f>E14+((100-(E14+F14))*K14)</f>
        <v>60.008639999999993</v>
      </c>
      <c r="K14" s="7">
        <v>0.53786</v>
      </c>
      <c r="L14" s="7"/>
      <c r="M14" s="1" t="str">
        <f t="shared" si="1"/>
        <v/>
      </c>
      <c r="N14" t="str">
        <f t="shared" si="2"/>
        <v/>
      </c>
      <c r="O14" t="str">
        <f t="shared" si="3"/>
        <v/>
      </c>
      <c r="S14" s="2">
        <f t="shared" si="4"/>
        <v>41327</v>
      </c>
      <c r="T14">
        <f t="shared" si="5"/>
        <v>439.92999999999995</v>
      </c>
      <c r="U14">
        <f t="shared" si="6"/>
        <v>0.71428571428571452</v>
      </c>
      <c r="V14" s="3">
        <v>0.59009999999999996</v>
      </c>
      <c r="W14" s="5">
        <f t="shared" si="40"/>
        <v>0.59009999999999996</v>
      </c>
      <c r="X14" s="3"/>
      <c r="Y14" s="1">
        <f t="shared" si="7"/>
        <v>41327</v>
      </c>
      <c r="Z14">
        <f t="shared" si="8"/>
        <v>439.92999999999995</v>
      </c>
      <c r="AA14">
        <f t="shared" si="9"/>
        <v>47.099999999999994</v>
      </c>
      <c r="AB14">
        <f t="shared" si="10"/>
        <v>28.9</v>
      </c>
      <c r="AC14">
        <f t="shared" si="11"/>
        <v>7.9</v>
      </c>
      <c r="AD14">
        <f t="shared" si="12"/>
        <v>60.008639999999993</v>
      </c>
      <c r="AF14" s="3">
        <v>45.467889999999997</v>
      </c>
      <c r="AG14" s="3">
        <v>30.700150000000001</v>
      </c>
      <c r="AH14" s="3">
        <v>8.0923800000000004</v>
      </c>
      <c r="AJ14" s="3">
        <f t="shared" si="32"/>
        <v>9.2879261580000012</v>
      </c>
      <c r="AL14" t="str">
        <f t="shared" si="13"/>
        <v/>
      </c>
      <c r="AM14" t="str">
        <f t="shared" si="14"/>
        <v/>
      </c>
      <c r="AN14" t="str">
        <f t="shared" si="15"/>
        <v/>
      </c>
      <c r="AP14">
        <f t="shared" si="16"/>
        <v>-1.6321099999999973</v>
      </c>
      <c r="AQ14">
        <f t="shared" si="17"/>
        <v>1.8001500000000021</v>
      </c>
      <c r="AR14">
        <f t="shared" si="18"/>
        <v>0.19238</v>
      </c>
      <c r="AT14" t="str">
        <f t="shared" si="19"/>
        <v/>
      </c>
      <c r="AU14" t="str">
        <f t="shared" si="20"/>
        <v/>
      </c>
      <c r="AV14" t="str">
        <f t="shared" si="21"/>
        <v/>
      </c>
      <c r="AX14" t="str">
        <f t="shared" si="22"/>
        <v/>
      </c>
      <c r="AY14" t="str">
        <f t="shared" si="23"/>
        <v/>
      </c>
      <c r="AZ14" t="str">
        <f t="shared" si="24"/>
        <v/>
      </c>
      <c r="BC14" s="1">
        <f t="shared" si="25"/>
        <v>41327</v>
      </c>
      <c r="BD14">
        <f t="shared" si="26"/>
        <v>439.92999999999995</v>
      </c>
      <c r="BE14">
        <f t="shared" si="27"/>
        <v>46.891269090909084</v>
      </c>
      <c r="BF14">
        <f t="shared" si="28"/>
        <v>28.702054545454544</v>
      </c>
      <c r="BG14">
        <f t="shared" si="29"/>
        <v>8.3452863636363634</v>
      </c>
      <c r="BH14">
        <f t="shared" si="33"/>
        <v>9.5006099999999964</v>
      </c>
      <c r="BO14" s="3">
        <v>45.959069999999997</v>
      </c>
      <c r="BP14" s="3">
        <v>30.65306</v>
      </c>
      <c r="BQ14" s="3">
        <v>8.0458999999999996</v>
      </c>
      <c r="BR14" s="3">
        <v>9.3272700000000004</v>
      </c>
      <c r="BU14">
        <f t="shared" si="30"/>
        <v>22.670854464200772</v>
      </c>
      <c r="BV14">
        <f t="shared" si="31"/>
        <v>24.753317686864762</v>
      </c>
      <c r="BX14">
        <f t="shared" si="34"/>
        <v>51.26129996997647</v>
      </c>
      <c r="BY14">
        <f t="shared" si="35"/>
        <v>36.442333761290939</v>
      </c>
      <c r="CA14" s="1">
        <f t="shared" si="36"/>
        <v>41327</v>
      </c>
      <c r="CB14">
        <f t="shared" si="37"/>
        <v>58.448319401504101</v>
      </c>
      <c r="CC14">
        <f t="shared" si="38"/>
        <v>41.551680598495885</v>
      </c>
    </row>
    <row r="15" spans="1:86" ht="15.75" thickBot="1" x14ac:dyDescent="0.3">
      <c r="A15" s="1">
        <v>41328</v>
      </c>
      <c r="B15" t="s">
        <v>8</v>
      </c>
      <c r="C15">
        <v>1136</v>
      </c>
      <c r="D15">
        <f t="shared" si="39"/>
        <v>1</v>
      </c>
      <c r="E15">
        <v>49</v>
      </c>
      <c r="F15">
        <v>27</v>
      </c>
      <c r="G15">
        <v>6</v>
      </c>
      <c r="J15">
        <v>62</v>
      </c>
      <c r="K15">
        <f t="shared" si="0"/>
        <v>0.54166666666666663</v>
      </c>
      <c r="M15" s="1" t="str">
        <f t="shared" si="1"/>
        <v/>
      </c>
      <c r="N15" t="str">
        <f t="shared" si="2"/>
        <v/>
      </c>
      <c r="O15" t="str">
        <f t="shared" si="3"/>
        <v/>
      </c>
      <c r="S15" s="2" t="str">
        <f t="shared" si="4"/>
        <v/>
      </c>
      <c r="T15" t="str">
        <f t="shared" si="5"/>
        <v/>
      </c>
      <c r="U15" t="str">
        <f t="shared" si="6"/>
        <v/>
      </c>
      <c r="W15">
        <f>W14+((($A15-$A14)/(S16-S14))*(W16-W14))</f>
        <v>0.58966285714285716</v>
      </c>
      <c r="Y15" s="1">
        <f t="shared" si="7"/>
        <v>41328</v>
      </c>
      <c r="Z15">
        <f t="shared" si="8"/>
        <v>1136</v>
      </c>
      <c r="AA15">
        <f t="shared" si="9"/>
        <v>49</v>
      </c>
      <c r="AB15">
        <f t="shared" si="10"/>
        <v>27</v>
      </c>
      <c r="AC15">
        <f t="shared" si="11"/>
        <v>6</v>
      </c>
      <c r="AD15">
        <f t="shared" si="12"/>
        <v>62</v>
      </c>
      <c r="AF15" s="3">
        <v>45.509839999999997</v>
      </c>
      <c r="AG15" s="3">
        <v>30.65427</v>
      </c>
      <c r="AH15" s="3">
        <v>8.0895200000000003</v>
      </c>
      <c r="AJ15" s="3">
        <f t="shared" si="32"/>
        <v>9.2850495238285795</v>
      </c>
      <c r="AL15">
        <f t="shared" si="13"/>
        <v>-3.490160000000003</v>
      </c>
      <c r="AM15">
        <f t="shared" si="14"/>
        <v>3.6542700000000004</v>
      </c>
      <c r="AN15">
        <f t="shared" si="15"/>
        <v>2.0895200000000003</v>
      </c>
      <c r="AP15" t="str">
        <f t="shared" si="16"/>
        <v/>
      </c>
      <c r="AQ15" t="str">
        <f t="shared" si="17"/>
        <v/>
      </c>
      <c r="AR15" t="str">
        <f t="shared" si="18"/>
        <v/>
      </c>
      <c r="AT15" t="str">
        <f t="shared" si="19"/>
        <v/>
      </c>
      <c r="AU15" t="str">
        <f t="shared" si="20"/>
        <v/>
      </c>
      <c r="AV15" t="str">
        <f t="shared" si="21"/>
        <v/>
      </c>
      <c r="AX15" t="str">
        <f t="shared" si="22"/>
        <v/>
      </c>
      <c r="AY15" t="str">
        <f t="shared" si="23"/>
        <v/>
      </c>
      <c r="AZ15" t="str">
        <f t="shared" si="24"/>
        <v/>
      </c>
      <c r="BC15" s="1">
        <f t="shared" si="25"/>
        <v>41328</v>
      </c>
      <c r="BD15">
        <f t="shared" si="26"/>
        <v>1136</v>
      </c>
      <c r="BE15">
        <f t="shared" si="27"/>
        <v>49.828401818181817</v>
      </c>
      <c r="BF15">
        <f t="shared" si="28"/>
        <v>28.370295454545452</v>
      </c>
      <c r="BG15">
        <f t="shared" si="29"/>
        <v>5.5798372727272731</v>
      </c>
      <c r="BH15">
        <f t="shared" si="33"/>
        <v>10.613931428571428</v>
      </c>
      <c r="BO15" s="3">
        <v>46.001060000000003</v>
      </c>
      <c r="BP15" s="3">
        <v>30.604810000000001</v>
      </c>
      <c r="BQ15" s="3">
        <v>8.0437100000000008</v>
      </c>
      <c r="BR15" s="3">
        <v>9.3268299999999993</v>
      </c>
      <c r="BU15">
        <f t="shared" si="30"/>
        <v>22.677932971007852</v>
      </c>
      <c r="BV15">
        <f t="shared" si="31"/>
        <v>24.734565614935697</v>
      </c>
      <c r="BX15">
        <f t="shared" si="34"/>
        <v>51.306365120550439</v>
      </c>
      <c r="BY15">
        <f t="shared" si="35"/>
        <v>36.391246434893354</v>
      </c>
      <c r="CA15" s="1">
        <f t="shared" si="36"/>
        <v>41328</v>
      </c>
      <c r="CB15">
        <f t="shared" si="37"/>
        <v>58.50372001079387</v>
      </c>
      <c r="CC15">
        <f t="shared" si="38"/>
        <v>41.496279989206144</v>
      </c>
    </row>
    <row r="16" spans="1:86" ht="15.75" thickBot="1" x14ac:dyDescent="0.3">
      <c r="A16" s="1">
        <v>41348</v>
      </c>
      <c r="B16" t="s">
        <v>9</v>
      </c>
      <c r="C16">
        <v>529</v>
      </c>
      <c r="D16">
        <f t="shared" si="39"/>
        <v>0.56999999999999995</v>
      </c>
      <c r="E16">
        <v>45</v>
      </c>
      <c r="F16">
        <v>29</v>
      </c>
      <c r="G16">
        <v>10</v>
      </c>
      <c r="I16">
        <v>7</v>
      </c>
      <c r="J16">
        <v>58</v>
      </c>
      <c r="K16">
        <f t="shared" si="0"/>
        <v>0.5</v>
      </c>
      <c r="M16" s="1" t="str">
        <f t="shared" si="1"/>
        <v/>
      </c>
      <c r="N16" t="str">
        <f t="shared" si="2"/>
        <v/>
      </c>
      <c r="O16" t="str">
        <f t="shared" si="3"/>
        <v/>
      </c>
      <c r="S16" s="2">
        <f t="shared" si="4"/>
        <v>41348</v>
      </c>
      <c r="T16">
        <f t="shared" si="5"/>
        <v>301.52999999999997</v>
      </c>
      <c r="U16">
        <f t="shared" si="6"/>
        <v>0.4375</v>
      </c>
      <c r="V16" s="3">
        <v>0.58091999999999999</v>
      </c>
      <c r="W16" s="5">
        <f t="shared" ref="W16:W18" si="41">V16</f>
        <v>0.58091999999999999</v>
      </c>
      <c r="X16" s="3"/>
      <c r="Y16" s="1">
        <f t="shared" si="7"/>
        <v>41348</v>
      </c>
      <c r="Z16">
        <f t="shared" si="8"/>
        <v>301.52999999999997</v>
      </c>
      <c r="AA16">
        <f t="shared" si="9"/>
        <v>45</v>
      </c>
      <c r="AB16">
        <f t="shared" si="10"/>
        <v>29</v>
      </c>
      <c r="AC16">
        <f t="shared" si="11"/>
        <v>10</v>
      </c>
      <c r="AD16">
        <f t="shared" si="12"/>
        <v>58</v>
      </c>
      <c r="AF16" s="3">
        <v>45.490020000000001</v>
      </c>
      <c r="AG16" s="3">
        <v>29.966439999999999</v>
      </c>
      <c r="AH16" s="3">
        <v>8.0322399999999998</v>
      </c>
      <c r="AJ16" s="3">
        <f t="shared" si="32"/>
        <v>9.5917443960000028</v>
      </c>
      <c r="AL16" t="str">
        <f t="shared" si="13"/>
        <v/>
      </c>
      <c r="AM16" t="str">
        <f t="shared" si="14"/>
        <v/>
      </c>
      <c r="AN16" t="str">
        <f t="shared" si="15"/>
        <v/>
      </c>
      <c r="AP16" t="str">
        <f t="shared" si="16"/>
        <v/>
      </c>
      <c r="AQ16" t="str">
        <f t="shared" si="17"/>
        <v/>
      </c>
      <c r="AR16" t="str">
        <f t="shared" si="18"/>
        <v/>
      </c>
      <c r="AT16" t="str">
        <f t="shared" si="19"/>
        <v/>
      </c>
      <c r="AU16" t="str">
        <f t="shared" si="20"/>
        <v/>
      </c>
      <c r="AV16" t="str">
        <f t="shared" si="21"/>
        <v/>
      </c>
      <c r="AX16">
        <f t="shared" si="22"/>
        <v>0.49002000000000123</v>
      </c>
      <c r="AY16">
        <f t="shared" si="23"/>
        <v>0.96643999999999863</v>
      </c>
      <c r="AZ16">
        <f t="shared" si="24"/>
        <v>-1.9677600000000002</v>
      </c>
      <c r="BC16" s="1">
        <f t="shared" si="25"/>
        <v>41348</v>
      </c>
      <c r="BD16">
        <f t="shared" si="26"/>
        <v>301.52999999999997</v>
      </c>
      <c r="BE16">
        <f t="shared" si="27"/>
        <v>45.298102</v>
      </c>
      <c r="BF16">
        <f t="shared" si="28"/>
        <v>28.412413000000001</v>
      </c>
      <c r="BG16">
        <f t="shared" si="29"/>
        <v>10.217955</v>
      </c>
      <c r="BH16">
        <f t="shared" si="33"/>
        <v>9.2947199999999999</v>
      </c>
      <c r="BO16" s="3">
        <v>45.789879999999997</v>
      </c>
      <c r="BP16" s="3">
        <v>30.325299999999999</v>
      </c>
      <c r="BQ16" s="3">
        <v>7.99986</v>
      </c>
      <c r="BR16" s="3">
        <v>9.3180999999999994</v>
      </c>
      <c r="BU16">
        <f t="shared" si="30"/>
        <v>22.772240004875233</v>
      </c>
      <c r="BV16">
        <f t="shared" si="31"/>
        <v>24.408277006086223</v>
      </c>
      <c r="BX16">
        <f t="shared" si="34"/>
        <v>51.228988535132437</v>
      </c>
      <c r="BY16">
        <f t="shared" si="35"/>
        <v>36.15517302800508</v>
      </c>
      <c r="CA16" s="1">
        <f t="shared" si="36"/>
        <v>41348</v>
      </c>
      <c r="CB16">
        <f t="shared" si="37"/>
        <v>58.625027257505977</v>
      </c>
      <c r="CC16">
        <f t="shared" si="38"/>
        <v>41.374972742494016</v>
      </c>
    </row>
    <row r="17" spans="1:81" ht="15.75" thickBot="1" x14ac:dyDescent="0.3">
      <c r="A17" s="1">
        <v>41354</v>
      </c>
      <c r="B17" s="1" t="s">
        <v>6</v>
      </c>
      <c r="C17">
        <v>1237</v>
      </c>
      <c r="D17">
        <f t="shared" si="39"/>
        <v>0.41</v>
      </c>
      <c r="E17">
        <v>47.8</v>
      </c>
      <c r="F17">
        <v>30.2</v>
      </c>
      <c r="G17">
        <v>8</v>
      </c>
      <c r="I17">
        <v>10.1</v>
      </c>
      <c r="J17">
        <f>E17+((100-(E17+F17))*K17)</f>
        <v>59.782519999999998</v>
      </c>
      <c r="K17" s="7">
        <v>0.54466000000000003</v>
      </c>
      <c r="L17" s="7"/>
      <c r="M17" s="1" t="str">
        <f t="shared" si="1"/>
        <v/>
      </c>
      <c r="N17" t="str">
        <f t="shared" si="2"/>
        <v/>
      </c>
      <c r="O17" t="str">
        <f t="shared" si="3"/>
        <v/>
      </c>
      <c r="S17" s="2">
        <f t="shared" si="4"/>
        <v>41354</v>
      </c>
      <c r="T17">
        <f t="shared" si="5"/>
        <v>507.16999999999996</v>
      </c>
      <c r="U17">
        <f t="shared" si="6"/>
        <v>0.72142857142857142</v>
      </c>
      <c r="V17" s="3">
        <v>0.57828999999999997</v>
      </c>
      <c r="W17" s="5">
        <f t="shared" si="41"/>
        <v>0.57828999999999997</v>
      </c>
      <c r="X17" s="3"/>
      <c r="Y17" s="1">
        <f t="shared" si="7"/>
        <v>41354</v>
      </c>
      <c r="Z17">
        <f t="shared" si="8"/>
        <v>507.16999999999996</v>
      </c>
      <c r="AA17">
        <f t="shared" si="9"/>
        <v>47.8</v>
      </c>
      <c r="AB17">
        <f t="shared" si="10"/>
        <v>30.2</v>
      </c>
      <c r="AC17">
        <f t="shared" si="11"/>
        <v>8</v>
      </c>
      <c r="AD17">
        <f t="shared" si="12"/>
        <v>59.782519999999998</v>
      </c>
      <c r="AF17" s="3">
        <v>45.434220000000003</v>
      </c>
      <c r="AG17" s="3">
        <v>29.900770000000001</v>
      </c>
      <c r="AH17" s="3">
        <v>8.0165500000000005</v>
      </c>
      <c r="AJ17" s="3">
        <f t="shared" si="32"/>
        <v>9.6276379333999991</v>
      </c>
      <c r="AL17" t="str">
        <f t="shared" si="13"/>
        <v/>
      </c>
      <c r="AM17" t="str">
        <f t="shared" si="14"/>
        <v/>
      </c>
      <c r="AN17" t="str">
        <f t="shared" si="15"/>
        <v/>
      </c>
      <c r="AP17">
        <f t="shared" si="16"/>
        <v>-2.3657799999999938</v>
      </c>
      <c r="AQ17">
        <f t="shared" si="17"/>
        <v>-0.29922999999999789</v>
      </c>
      <c r="AR17">
        <f t="shared" si="18"/>
        <v>1.6550000000000509E-2</v>
      </c>
      <c r="AT17" t="str">
        <f t="shared" si="19"/>
        <v/>
      </c>
      <c r="AU17" t="str">
        <f t="shared" si="20"/>
        <v/>
      </c>
      <c r="AV17" t="str">
        <f t="shared" si="21"/>
        <v/>
      </c>
      <c r="AX17" t="str">
        <f t="shared" si="22"/>
        <v/>
      </c>
      <c r="AY17" t="str">
        <f t="shared" si="23"/>
        <v/>
      </c>
      <c r="AZ17" t="str">
        <f t="shared" si="24"/>
        <v/>
      </c>
      <c r="BC17" s="1">
        <f t="shared" si="25"/>
        <v>41354</v>
      </c>
      <c r="BD17">
        <f t="shared" si="26"/>
        <v>507.16999999999996</v>
      </c>
      <c r="BE17">
        <f t="shared" si="27"/>
        <v>47.591269090909087</v>
      </c>
      <c r="BF17">
        <f t="shared" si="28"/>
        <v>30.002054545454545</v>
      </c>
      <c r="BG17">
        <f t="shared" si="29"/>
        <v>8.4452863636363631</v>
      </c>
      <c r="BH17">
        <f t="shared" si="33"/>
        <v>8.0960599999999996</v>
      </c>
      <c r="BO17" s="3">
        <v>45.702460000000002</v>
      </c>
      <c r="BP17" s="3">
        <v>30.322099999999999</v>
      </c>
      <c r="BQ17" s="3">
        <v>7.9872100000000001</v>
      </c>
      <c r="BR17" s="3">
        <v>9.2923100000000005</v>
      </c>
      <c r="BU17">
        <f t="shared" si="30"/>
        <v>22.785426976086306</v>
      </c>
      <c r="BV17">
        <f t="shared" si="31"/>
        <v>24.356118479584914</v>
      </c>
      <c r="BX17">
        <f t="shared" si="34"/>
        <v>51.165366373395386</v>
      </c>
      <c r="BY17">
        <f t="shared" si="35"/>
        <v>36.161586572401788</v>
      </c>
      <c r="CA17" s="1">
        <f t="shared" si="36"/>
        <v>41354</v>
      </c>
      <c r="CB17">
        <f t="shared" si="37"/>
        <v>58.590577877088116</v>
      </c>
      <c r="CC17">
        <f t="shared" si="38"/>
        <v>41.409422122911884</v>
      </c>
    </row>
    <row r="18" spans="1:81" x14ac:dyDescent="0.25">
      <c r="A18" s="1">
        <v>41377</v>
      </c>
      <c r="B18" s="1" t="s">
        <v>6</v>
      </c>
      <c r="C18">
        <v>1100</v>
      </c>
      <c r="D18">
        <f t="shared" si="39"/>
        <v>0.41</v>
      </c>
      <c r="E18">
        <v>45.1</v>
      </c>
      <c r="F18">
        <v>29.2</v>
      </c>
      <c r="G18">
        <v>7.7</v>
      </c>
      <c r="I18">
        <v>12.7</v>
      </c>
      <c r="J18">
        <f>E18+((100-(E18+F18))*K18)</f>
        <v>59.232430000000008</v>
      </c>
      <c r="K18" s="7">
        <v>0.54990000000000006</v>
      </c>
      <c r="L18" s="7"/>
      <c r="M18" s="1" t="str">
        <f t="shared" si="1"/>
        <v/>
      </c>
      <c r="N18" t="str">
        <f t="shared" si="2"/>
        <v/>
      </c>
      <c r="O18" t="str">
        <f t="shared" si="3"/>
        <v/>
      </c>
      <c r="S18" s="2">
        <f t="shared" si="4"/>
        <v>41377</v>
      </c>
      <c r="T18">
        <f t="shared" si="5"/>
        <v>451</v>
      </c>
      <c r="U18">
        <f t="shared" si="6"/>
        <v>0.70555555555555549</v>
      </c>
      <c r="V18" s="3">
        <v>0.56823000000000001</v>
      </c>
      <c r="W18" s="5">
        <f t="shared" si="41"/>
        <v>0.56823000000000001</v>
      </c>
      <c r="X18" s="3"/>
      <c r="Y18" s="1">
        <f t="shared" si="7"/>
        <v>41377</v>
      </c>
      <c r="Z18">
        <f t="shared" si="8"/>
        <v>451</v>
      </c>
      <c r="AA18">
        <f t="shared" si="9"/>
        <v>45.1</v>
      </c>
      <c r="AB18">
        <f t="shared" si="10"/>
        <v>29.2</v>
      </c>
      <c r="AC18">
        <f t="shared" si="11"/>
        <v>7.7</v>
      </c>
      <c r="AD18">
        <f t="shared" si="12"/>
        <v>59.232430000000008</v>
      </c>
      <c r="AF18" s="3">
        <v>45.220280000000002</v>
      </c>
      <c r="AG18" s="3">
        <v>29.649049999999999</v>
      </c>
      <c r="AH18" s="3">
        <v>7.9563800000000002</v>
      </c>
      <c r="AJ18" s="3">
        <f t="shared" si="32"/>
        <v>9.7589468066999991</v>
      </c>
      <c r="AL18" t="str">
        <f t="shared" si="13"/>
        <v/>
      </c>
      <c r="AM18" t="str">
        <f t="shared" si="14"/>
        <v/>
      </c>
      <c r="AN18" t="str">
        <f t="shared" si="15"/>
        <v/>
      </c>
      <c r="AP18">
        <f t="shared" si="16"/>
        <v>0.12028000000000105</v>
      </c>
      <c r="AQ18">
        <f t="shared" si="17"/>
        <v>0.44904999999999973</v>
      </c>
      <c r="AR18">
        <f t="shared" si="18"/>
        <v>0.25638000000000005</v>
      </c>
      <c r="AT18" t="str">
        <f t="shared" si="19"/>
        <v/>
      </c>
      <c r="AU18" t="str">
        <f t="shared" si="20"/>
        <v/>
      </c>
      <c r="AV18" t="str">
        <f t="shared" si="21"/>
        <v/>
      </c>
      <c r="AX18" t="str">
        <f t="shared" si="22"/>
        <v/>
      </c>
      <c r="AY18" t="str">
        <f t="shared" si="23"/>
        <v/>
      </c>
      <c r="AZ18" t="str">
        <f t="shared" si="24"/>
        <v/>
      </c>
      <c r="BC18" s="1">
        <f t="shared" si="25"/>
        <v>41377</v>
      </c>
      <c r="BD18">
        <f t="shared" si="26"/>
        <v>451</v>
      </c>
      <c r="BE18">
        <f t="shared" si="27"/>
        <v>44.891269090909091</v>
      </c>
      <c r="BF18">
        <f t="shared" si="28"/>
        <v>29.002054545454545</v>
      </c>
      <c r="BG18">
        <f t="shared" si="29"/>
        <v>8.1452863636363642</v>
      </c>
      <c r="BH18">
        <f t="shared" si="33"/>
        <v>10.22814</v>
      </c>
      <c r="BO18" s="3">
        <v>45.36739</v>
      </c>
      <c r="BP18" s="3">
        <v>30.309850000000001</v>
      </c>
      <c r="BQ18" s="3">
        <v>7.9387400000000001</v>
      </c>
      <c r="BR18" s="3">
        <v>9.1223799999999997</v>
      </c>
      <c r="BU18">
        <f t="shared" si="30"/>
        <v>22.834700404298495</v>
      </c>
      <c r="BV18">
        <f t="shared" si="31"/>
        <v>24.160653740870231</v>
      </c>
      <c r="BX18">
        <f t="shared" si="34"/>
        <v>50.921419376056555</v>
      </c>
      <c r="BY18">
        <f t="shared" si="35"/>
        <v>36.186387823822891</v>
      </c>
      <c r="CA18" s="1">
        <f t="shared" si="36"/>
        <v>41377</v>
      </c>
      <c r="CB18">
        <f t="shared" si="37"/>
        <v>58.457928184566946</v>
      </c>
      <c r="CC18">
        <f t="shared" si="38"/>
        <v>41.542071815433061</v>
      </c>
    </row>
    <row r="19" spans="1:81" ht="15.75" thickBot="1" x14ac:dyDescent="0.3">
      <c r="A19" s="1">
        <v>41412</v>
      </c>
      <c r="B19" t="s">
        <v>8</v>
      </c>
      <c r="C19">
        <v>1136</v>
      </c>
      <c r="D19">
        <f t="shared" si="39"/>
        <v>1</v>
      </c>
      <c r="E19">
        <v>44</v>
      </c>
      <c r="F19">
        <v>29</v>
      </c>
      <c r="G19">
        <v>10</v>
      </c>
      <c r="J19">
        <v>59</v>
      </c>
      <c r="K19">
        <f t="shared" si="0"/>
        <v>0.55555555555555558</v>
      </c>
      <c r="M19" s="1" t="str">
        <f t="shared" si="1"/>
        <v/>
      </c>
      <c r="N19" t="str">
        <f t="shared" si="2"/>
        <v/>
      </c>
      <c r="O19" t="str">
        <f t="shared" si="3"/>
        <v/>
      </c>
      <c r="S19" s="2" t="str">
        <f t="shared" si="4"/>
        <v/>
      </c>
      <c r="T19" t="str">
        <f t="shared" si="5"/>
        <v/>
      </c>
      <c r="U19" t="str">
        <f t="shared" si="6"/>
        <v/>
      </c>
      <c r="W19">
        <f>W18+((($A19-$A18)/(S20-S18))*(W20-W18))</f>
        <v>0.53419486486486489</v>
      </c>
      <c r="Y19" s="1">
        <f t="shared" si="7"/>
        <v>41412</v>
      </c>
      <c r="Z19">
        <f t="shared" si="8"/>
        <v>1136</v>
      </c>
      <c r="AA19">
        <f t="shared" si="9"/>
        <v>44</v>
      </c>
      <c r="AB19">
        <f t="shared" si="10"/>
        <v>29</v>
      </c>
      <c r="AC19">
        <f t="shared" si="11"/>
        <v>10</v>
      </c>
      <c r="AD19">
        <f t="shared" si="12"/>
        <v>59</v>
      </c>
      <c r="AF19" s="3">
        <v>45.009450000000001</v>
      </c>
      <c r="AG19" s="3">
        <v>30.76268</v>
      </c>
      <c r="AH19" s="3">
        <v>7.8648300000000004</v>
      </c>
      <c r="AJ19" s="3">
        <f t="shared" si="32"/>
        <v>8.7410519415783785</v>
      </c>
      <c r="AL19">
        <f t="shared" si="13"/>
        <v>1.0094500000000011</v>
      </c>
      <c r="AM19">
        <f t="shared" si="14"/>
        <v>1.7626799999999996</v>
      </c>
      <c r="AN19">
        <f t="shared" si="15"/>
        <v>-2.1351699999999996</v>
      </c>
      <c r="AP19" t="str">
        <f t="shared" si="16"/>
        <v/>
      </c>
      <c r="AQ19" t="str">
        <f t="shared" si="17"/>
        <v/>
      </c>
      <c r="AR19" t="str">
        <f t="shared" si="18"/>
        <v/>
      </c>
      <c r="AT19" t="str">
        <f t="shared" si="19"/>
        <v/>
      </c>
      <c r="AU19" t="str">
        <f t="shared" si="20"/>
        <v/>
      </c>
      <c r="AV19" t="str">
        <f t="shared" si="21"/>
        <v/>
      </c>
      <c r="AX19" t="str">
        <f t="shared" si="22"/>
        <v/>
      </c>
      <c r="AY19" t="str">
        <f t="shared" si="23"/>
        <v/>
      </c>
      <c r="AZ19" t="str">
        <f t="shared" si="24"/>
        <v/>
      </c>
      <c r="BC19" s="1">
        <f t="shared" si="25"/>
        <v>41412</v>
      </c>
      <c r="BD19">
        <f t="shared" si="26"/>
        <v>1136</v>
      </c>
      <c r="BE19">
        <f t="shared" si="27"/>
        <v>44.828401818181817</v>
      </c>
      <c r="BF19">
        <f t="shared" si="28"/>
        <v>30.370295454545452</v>
      </c>
      <c r="BG19">
        <f t="shared" si="29"/>
        <v>9.5798372727272731</v>
      </c>
      <c r="BH19">
        <f t="shared" si="33"/>
        <v>9.0813127027027036</v>
      </c>
      <c r="BO19" s="3">
        <v>45.083329999999997</v>
      </c>
      <c r="BP19" s="3">
        <v>31.31747</v>
      </c>
      <c r="BQ19" s="3">
        <v>7.8649699999999996</v>
      </c>
      <c r="BR19" s="3">
        <v>8.8637899999999998</v>
      </c>
      <c r="BU19">
        <f t="shared" si="30"/>
        <v>22.685707883216256</v>
      </c>
      <c r="BV19">
        <f t="shared" si="31"/>
        <v>24.590733287883218</v>
      </c>
      <c r="BX19">
        <f t="shared" si="34"/>
        <v>50.436975574775964</v>
      </c>
      <c r="BY19">
        <f t="shared" si="35"/>
        <v>37.120686330074136</v>
      </c>
      <c r="CA19" s="1">
        <f t="shared" si="36"/>
        <v>41412</v>
      </c>
      <c r="CB19">
        <f t="shared" si="37"/>
        <v>57.604296959855319</v>
      </c>
      <c r="CC19">
        <f t="shared" si="38"/>
        <v>42.395703040144674</v>
      </c>
    </row>
    <row r="20" spans="1:81" ht="15.75" thickBot="1" x14ac:dyDescent="0.3">
      <c r="A20" s="1">
        <v>41414</v>
      </c>
      <c r="B20" s="1" t="s">
        <v>7</v>
      </c>
      <c r="C20">
        <v>800</v>
      </c>
      <c r="D20">
        <f t="shared" si="39"/>
        <v>1.1299999999999999</v>
      </c>
      <c r="E20">
        <v>44</v>
      </c>
      <c r="F20">
        <v>32</v>
      </c>
      <c r="G20">
        <v>8</v>
      </c>
      <c r="I20">
        <v>8</v>
      </c>
      <c r="J20">
        <v>57</v>
      </c>
      <c r="K20">
        <f t="shared" si="0"/>
        <v>0.54166666666666663</v>
      </c>
      <c r="M20" s="1" t="str">
        <f t="shared" si="1"/>
        <v/>
      </c>
      <c r="N20" t="str">
        <f t="shared" si="2"/>
        <v/>
      </c>
      <c r="O20" t="str">
        <f t="shared" si="3"/>
        <v/>
      </c>
      <c r="S20" s="2">
        <f t="shared" si="4"/>
        <v>41414</v>
      </c>
      <c r="T20">
        <f t="shared" si="5"/>
        <v>903.99999999999989</v>
      </c>
      <c r="U20">
        <f t="shared" si="6"/>
        <v>0.5</v>
      </c>
      <c r="V20" s="3">
        <v>0.53225</v>
      </c>
      <c r="W20" s="5">
        <f t="shared" ref="W20:W23" si="42">V20</f>
        <v>0.53225</v>
      </c>
      <c r="X20" s="3"/>
      <c r="Y20" s="1">
        <f t="shared" si="7"/>
        <v>41414</v>
      </c>
      <c r="Z20">
        <f t="shared" si="8"/>
        <v>903.99999999999989</v>
      </c>
      <c r="AA20">
        <f t="shared" si="9"/>
        <v>44</v>
      </c>
      <c r="AB20">
        <f t="shared" si="10"/>
        <v>32</v>
      </c>
      <c r="AC20">
        <f t="shared" si="11"/>
        <v>8</v>
      </c>
      <c r="AD20">
        <f t="shared" si="12"/>
        <v>57</v>
      </c>
      <c r="AF20" s="3">
        <v>44.997399999999999</v>
      </c>
      <c r="AG20" s="3">
        <v>30.826309999999999</v>
      </c>
      <c r="AH20" s="3">
        <v>7.8596000000000004</v>
      </c>
      <c r="AJ20" s="3">
        <f t="shared" si="32"/>
        <v>8.6845582524999969</v>
      </c>
      <c r="AL20" t="str">
        <f t="shared" si="13"/>
        <v/>
      </c>
      <c r="AM20" t="str">
        <f t="shared" si="14"/>
        <v/>
      </c>
      <c r="AN20" t="str">
        <f t="shared" si="15"/>
        <v/>
      </c>
      <c r="AP20" t="str">
        <f t="shared" si="16"/>
        <v/>
      </c>
      <c r="AQ20" t="str">
        <f t="shared" si="17"/>
        <v/>
      </c>
      <c r="AR20" t="str">
        <f t="shared" si="18"/>
        <v/>
      </c>
      <c r="AT20">
        <f t="shared" si="19"/>
        <v>0.99739999999999895</v>
      </c>
      <c r="AU20">
        <f t="shared" si="20"/>
        <v>-1.1736900000000006</v>
      </c>
      <c r="AV20">
        <f t="shared" si="21"/>
        <v>-0.14039999999999964</v>
      </c>
      <c r="AX20" t="str">
        <f t="shared" si="22"/>
        <v/>
      </c>
      <c r="AY20" t="str">
        <f t="shared" si="23"/>
        <v/>
      </c>
      <c r="AZ20" t="str">
        <f t="shared" si="24"/>
        <v/>
      </c>
      <c r="BC20" s="1">
        <f t="shared" si="25"/>
        <v>41414</v>
      </c>
      <c r="BD20">
        <f t="shared" si="26"/>
        <v>903.99999999999989</v>
      </c>
      <c r="BE20">
        <f t="shared" si="27"/>
        <v>43.707368181818183</v>
      </c>
      <c r="BF20">
        <f t="shared" si="28"/>
        <v>31.614707272727273</v>
      </c>
      <c r="BG20">
        <f t="shared" si="29"/>
        <v>7.5910736363636362</v>
      </c>
      <c r="BH20">
        <f t="shared" si="33"/>
        <v>8.516</v>
      </c>
      <c r="BO20" s="3">
        <v>45.067100000000003</v>
      </c>
      <c r="BP20" s="3">
        <v>31.375050000000002</v>
      </c>
      <c r="BQ20" s="3">
        <v>7.8607500000000003</v>
      </c>
      <c r="BR20" s="3">
        <v>8.7957199999999993</v>
      </c>
      <c r="BU20">
        <f t="shared" si="30"/>
        <v>22.677121868147239</v>
      </c>
      <c r="BV20">
        <f t="shared" si="31"/>
        <v>24.615628119895657</v>
      </c>
      <c r="BX20">
        <f t="shared" si="34"/>
        <v>50.40934235401533</v>
      </c>
      <c r="BY20">
        <f t="shared" si="35"/>
        <v>37.173962749042843</v>
      </c>
      <c r="CA20" s="1">
        <f t="shared" si="36"/>
        <v>41414</v>
      </c>
      <c r="CB20">
        <f t="shared" si="37"/>
        <v>57.555880421159365</v>
      </c>
      <c r="CC20">
        <f t="shared" si="38"/>
        <v>42.444119578840642</v>
      </c>
    </row>
    <row r="21" spans="1:81" ht="15.75" thickBot="1" x14ac:dyDescent="0.3">
      <c r="A21" s="1">
        <v>41417</v>
      </c>
      <c r="B21" s="1" t="s">
        <v>6</v>
      </c>
      <c r="C21">
        <v>1291</v>
      </c>
      <c r="D21">
        <f t="shared" si="39"/>
        <v>0.41</v>
      </c>
      <c r="E21">
        <v>44.6</v>
      </c>
      <c r="F21">
        <v>28.199999999999996</v>
      </c>
      <c r="G21">
        <v>9</v>
      </c>
      <c r="I21">
        <v>10.4</v>
      </c>
      <c r="J21">
        <f>E21+((100-(E21+F21))*K21)</f>
        <v>59.647311999999999</v>
      </c>
      <c r="K21" s="7">
        <v>0.55320999999999998</v>
      </c>
      <c r="L21" s="7"/>
      <c r="M21" s="1" t="str">
        <f t="shared" si="1"/>
        <v/>
      </c>
      <c r="N21" t="str">
        <f t="shared" si="2"/>
        <v/>
      </c>
      <c r="O21" t="str">
        <f t="shared" si="3"/>
        <v/>
      </c>
      <c r="S21" s="2">
        <f t="shared" si="4"/>
        <v>41417</v>
      </c>
      <c r="T21">
        <f t="shared" si="5"/>
        <v>529.30999999999995</v>
      </c>
      <c r="U21">
        <f t="shared" si="6"/>
        <v>0.5714285714285714</v>
      </c>
      <c r="V21" s="3">
        <v>0.52932999999999997</v>
      </c>
      <c r="W21" s="5">
        <f t="shared" si="42"/>
        <v>0.52932999999999997</v>
      </c>
      <c r="X21" s="3"/>
      <c r="Y21" s="1">
        <f t="shared" si="7"/>
        <v>41417</v>
      </c>
      <c r="Z21">
        <f t="shared" si="8"/>
        <v>529.30999999999995</v>
      </c>
      <c r="AA21">
        <f t="shared" si="9"/>
        <v>44.6</v>
      </c>
      <c r="AB21">
        <f t="shared" si="10"/>
        <v>28.199999999999996</v>
      </c>
      <c r="AC21">
        <f t="shared" si="11"/>
        <v>9</v>
      </c>
      <c r="AD21">
        <f t="shared" si="12"/>
        <v>59.647311999999999</v>
      </c>
      <c r="AF21" s="3">
        <v>44.990819999999999</v>
      </c>
      <c r="AG21" s="3">
        <v>31.00224</v>
      </c>
      <c r="AH21" s="3">
        <v>7.85175</v>
      </c>
      <c r="AJ21" s="3">
        <f t="shared" si="32"/>
        <v>8.5514267227000023</v>
      </c>
      <c r="AL21" t="str">
        <f t="shared" si="13"/>
        <v/>
      </c>
      <c r="AM21" t="str">
        <f t="shared" si="14"/>
        <v/>
      </c>
      <c r="AN21" t="str">
        <f t="shared" si="15"/>
        <v/>
      </c>
      <c r="AP21">
        <f t="shared" si="16"/>
        <v>0.39081999999999795</v>
      </c>
      <c r="AQ21">
        <f t="shared" si="17"/>
        <v>2.8022400000000047</v>
      </c>
      <c r="AR21">
        <f t="shared" si="18"/>
        <v>-1.14825</v>
      </c>
      <c r="AT21" t="str">
        <f t="shared" si="19"/>
        <v/>
      </c>
      <c r="AU21" t="str">
        <f t="shared" si="20"/>
        <v/>
      </c>
      <c r="AV21" t="str">
        <f t="shared" si="21"/>
        <v/>
      </c>
      <c r="AX21" t="str">
        <f t="shared" si="22"/>
        <v/>
      </c>
      <c r="AY21" t="str">
        <f t="shared" si="23"/>
        <v/>
      </c>
      <c r="AZ21" t="str">
        <f t="shared" si="24"/>
        <v/>
      </c>
      <c r="BC21" s="1">
        <f t="shared" si="25"/>
        <v>41417</v>
      </c>
      <c r="BD21">
        <f t="shared" si="26"/>
        <v>529.30999999999995</v>
      </c>
      <c r="BE21">
        <f t="shared" si="27"/>
        <v>44.391269090909091</v>
      </c>
      <c r="BF21">
        <f t="shared" si="28"/>
        <v>28.002054545454541</v>
      </c>
      <c r="BG21">
        <f t="shared" si="29"/>
        <v>9.4452863636363631</v>
      </c>
      <c r="BH21">
        <f t="shared" si="33"/>
        <v>9.6338060000000016</v>
      </c>
      <c r="BJ21" t="s">
        <v>3</v>
      </c>
      <c r="BK21" t="s">
        <v>10</v>
      </c>
      <c r="BL21" t="s">
        <v>12</v>
      </c>
      <c r="BO21" s="3">
        <v>45.05744</v>
      </c>
      <c r="BP21" s="3">
        <v>31.486660000000001</v>
      </c>
      <c r="BQ21" s="3">
        <v>7.8544299999999998</v>
      </c>
      <c r="BR21" s="3">
        <v>8.6936199999999992</v>
      </c>
      <c r="BU21">
        <f t="shared" si="30"/>
        <v>22.657791708524613</v>
      </c>
      <c r="BV21">
        <f t="shared" si="31"/>
        <v>24.674854005259803</v>
      </c>
      <c r="BX21">
        <f t="shared" si="34"/>
        <v>50.372028965359824</v>
      </c>
      <c r="BY21">
        <f t="shared" si="35"/>
        <v>37.274369080619735</v>
      </c>
      <c r="CA21" s="1">
        <f t="shared" si="36"/>
        <v>41417</v>
      </c>
      <c r="CB21">
        <f t="shared" si="37"/>
        <v>57.471875728349389</v>
      </c>
      <c r="CC21">
        <f t="shared" si="38"/>
        <v>42.528124271650604</v>
      </c>
    </row>
    <row r="22" spans="1:81" ht="15.75" thickBot="1" x14ac:dyDescent="0.3">
      <c r="A22" s="1">
        <v>41465</v>
      </c>
      <c r="B22" t="s">
        <v>6</v>
      </c>
      <c r="C22">
        <v>1613</v>
      </c>
      <c r="D22">
        <f t="shared" si="39"/>
        <v>0.41</v>
      </c>
      <c r="E22">
        <v>43.3</v>
      </c>
      <c r="F22">
        <v>37</v>
      </c>
      <c r="G22">
        <v>5.0999999999999996</v>
      </c>
      <c r="H22">
        <v>4.5</v>
      </c>
      <c r="I22">
        <v>5.7</v>
      </c>
      <c r="J22">
        <f>E22+((100-(E22+F22))*K22)</f>
        <v>53.997691000000003</v>
      </c>
      <c r="K22" s="7">
        <v>0.54303000000000001</v>
      </c>
      <c r="L22" s="7"/>
      <c r="M22" s="1">
        <f t="shared" si="1"/>
        <v>41465</v>
      </c>
      <c r="N22">
        <f t="shared" si="2"/>
        <v>661.32999999999993</v>
      </c>
      <c r="O22">
        <f t="shared" si="3"/>
        <v>0.30821917808219162</v>
      </c>
      <c r="P22" s="5">
        <v>0.31034</v>
      </c>
      <c r="Q22" s="5">
        <f>P22</f>
        <v>0.31034</v>
      </c>
      <c r="R22" s="5"/>
      <c r="S22" s="2">
        <f t="shared" si="4"/>
        <v>41465</v>
      </c>
      <c r="T22">
        <f t="shared" si="5"/>
        <v>661.32999999999993</v>
      </c>
      <c r="U22">
        <f t="shared" si="6"/>
        <v>0.39041095890410937</v>
      </c>
      <c r="V22" s="3">
        <v>0.47333999999999998</v>
      </c>
      <c r="W22" s="5">
        <f t="shared" si="42"/>
        <v>0.47333999999999998</v>
      </c>
      <c r="X22" s="3"/>
      <c r="Y22" s="1">
        <f t="shared" si="7"/>
        <v>41465</v>
      </c>
      <c r="Z22">
        <f t="shared" si="8"/>
        <v>661.32999999999993</v>
      </c>
      <c r="AA22">
        <f t="shared" si="9"/>
        <v>43.3</v>
      </c>
      <c r="AB22">
        <f t="shared" si="10"/>
        <v>37</v>
      </c>
      <c r="AC22">
        <f t="shared" si="11"/>
        <v>5.0999999999999996</v>
      </c>
      <c r="AD22">
        <f t="shared" si="12"/>
        <v>53.997691000000003</v>
      </c>
      <c r="AF22" s="3">
        <v>44.885460000000002</v>
      </c>
      <c r="AG22" s="3">
        <v>33.817030000000003</v>
      </c>
      <c r="AH22" s="3">
        <v>7.7262000000000004</v>
      </c>
      <c r="AI22" s="5">
        <f>(100-SUM(AF22:AH22))*Q22</f>
        <v>4.2117203453999945</v>
      </c>
      <c r="AJ22" s="3">
        <f>(100-SUM(AF22:AH22))*W22</f>
        <v>6.4238438753999914</v>
      </c>
      <c r="AL22" t="str">
        <f t="shared" si="13"/>
        <v/>
      </c>
      <c r="AM22" t="str">
        <f t="shared" si="14"/>
        <v/>
      </c>
      <c r="AN22" t="str">
        <f t="shared" si="15"/>
        <v/>
      </c>
      <c r="AP22">
        <f t="shared" si="16"/>
        <v>1.5854600000000048</v>
      </c>
      <c r="AQ22">
        <f t="shared" si="17"/>
        <v>-3.1829699999999974</v>
      </c>
      <c r="AR22">
        <f t="shared" si="18"/>
        <v>2.6262000000000008</v>
      </c>
      <c r="AT22" t="str">
        <f t="shared" si="19"/>
        <v/>
      </c>
      <c r="AU22" t="str">
        <f t="shared" si="20"/>
        <v/>
      </c>
      <c r="AV22" t="str">
        <f t="shared" si="21"/>
        <v/>
      </c>
      <c r="AX22" t="str">
        <f t="shared" si="22"/>
        <v/>
      </c>
      <c r="AY22" t="str">
        <f t="shared" si="23"/>
        <v/>
      </c>
      <c r="AZ22" t="str">
        <f t="shared" si="24"/>
        <v/>
      </c>
      <c r="BC22" s="1">
        <f t="shared" si="25"/>
        <v>41465</v>
      </c>
      <c r="BD22">
        <f t="shared" si="26"/>
        <v>661.32999999999993</v>
      </c>
      <c r="BE22">
        <f t="shared" si="27"/>
        <v>43.091269090909087</v>
      </c>
      <c r="BF22">
        <f t="shared" si="28"/>
        <v>36.802054545454546</v>
      </c>
      <c r="BG22">
        <f t="shared" si="29"/>
        <v>5.5452863636363636</v>
      </c>
      <c r="BH22">
        <f t="shared" si="33"/>
        <v>6.9107640000000039</v>
      </c>
      <c r="BJ22" s="1">
        <f>A22</f>
        <v>41465</v>
      </c>
      <c r="BK22">
        <f>C22*D22</f>
        <v>661.32999999999993</v>
      </c>
      <c r="BL22">
        <f t="shared" ref="BL22:BL42" si="43">Q22*(100-SUM(E22:G22))</f>
        <v>4.5309640000000027</v>
      </c>
      <c r="BO22" s="3">
        <v>44.902810000000002</v>
      </c>
      <c r="BP22" s="3">
        <v>33.272390000000001</v>
      </c>
      <c r="BQ22" s="3">
        <v>7.75326</v>
      </c>
      <c r="BR22" s="3">
        <v>7.47255</v>
      </c>
      <c r="BS22" s="5">
        <v>3.9679799999999998</v>
      </c>
      <c r="BU22">
        <f t="shared" si="30"/>
        <v>22.337168407700812</v>
      </c>
      <c r="BV22">
        <f t="shared" si="31"/>
        <v>25.66677737634372</v>
      </c>
      <c r="BX22">
        <f t="shared" si="34"/>
        <v>49.777852330643888</v>
      </c>
      <c r="BY22">
        <f t="shared" si="35"/>
        <v>38.874112828832267</v>
      </c>
      <c r="CA22" s="1">
        <f t="shared" si="36"/>
        <v>41465</v>
      </c>
      <c r="CB22">
        <f t="shared" si="37"/>
        <v>56.149744950490863</v>
      </c>
      <c r="CC22">
        <f t="shared" si="38"/>
        <v>43.850255049509123</v>
      </c>
    </row>
    <row r="23" spans="1:81" ht="15.75" thickBot="1" x14ac:dyDescent="0.3">
      <c r="A23" s="1">
        <v>41494</v>
      </c>
      <c r="B23" s="1" t="s">
        <v>7</v>
      </c>
      <c r="C23">
        <v>800</v>
      </c>
      <c r="D23">
        <f t="shared" si="39"/>
        <v>1.1299999999999999</v>
      </c>
      <c r="E23">
        <v>47</v>
      </c>
      <c r="F23">
        <v>34</v>
      </c>
      <c r="G23">
        <v>7</v>
      </c>
      <c r="I23">
        <v>6</v>
      </c>
      <c r="J23">
        <v>57</v>
      </c>
      <c r="K23">
        <f t="shared" si="0"/>
        <v>0.52631578947368418</v>
      </c>
      <c r="M23" s="1" t="str">
        <f t="shared" si="1"/>
        <v/>
      </c>
      <c r="N23" t="str">
        <f t="shared" si="2"/>
        <v/>
      </c>
      <c r="O23" t="str">
        <f t="shared" si="3"/>
        <v/>
      </c>
      <c r="Q23">
        <f>Q$22+((($A23-$A$22)/(M$26-M$22))*(Q$26-Q$22))</f>
        <v>0.33352867187500002</v>
      </c>
      <c r="S23" s="2">
        <f t="shared" si="4"/>
        <v>41494</v>
      </c>
      <c r="T23">
        <f t="shared" si="5"/>
        <v>903.99999999999989</v>
      </c>
      <c r="U23">
        <f t="shared" si="6"/>
        <v>0.5</v>
      </c>
      <c r="V23" s="3">
        <v>0.43951000000000001</v>
      </c>
      <c r="W23" s="5">
        <f t="shared" si="42"/>
        <v>0.43951000000000001</v>
      </c>
      <c r="X23" s="3"/>
      <c r="Y23" s="1">
        <f t="shared" si="7"/>
        <v>41494</v>
      </c>
      <c r="Z23">
        <f t="shared" si="8"/>
        <v>903.99999999999989</v>
      </c>
      <c r="AA23">
        <f t="shared" si="9"/>
        <v>47</v>
      </c>
      <c r="AB23">
        <f t="shared" si="10"/>
        <v>34</v>
      </c>
      <c r="AC23">
        <f t="shared" si="11"/>
        <v>7</v>
      </c>
      <c r="AD23">
        <f t="shared" si="12"/>
        <v>57</v>
      </c>
      <c r="AF23" s="3">
        <v>44.377549999999999</v>
      </c>
      <c r="AG23" s="3">
        <v>32.933700000000002</v>
      </c>
      <c r="AH23" s="3">
        <v>7.6503399999999999</v>
      </c>
      <c r="AI23" s="5">
        <f t="shared" ref="AI23:AI52" si="44">(100-SUM(AF23:AH23))*Q23</f>
        <v>5.0157409144117189</v>
      </c>
      <c r="AJ23" s="3">
        <f t="shared" ref="AJ23:AJ52" si="45">(100-SUM(AF23:AH23))*W23</f>
        <v>6.6095315790999996</v>
      </c>
      <c r="AL23" t="str">
        <f t="shared" si="13"/>
        <v/>
      </c>
      <c r="AM23" t="str">
        <f t="shared" si="14"/>
        <v/>
      </c>
      <c r="AN23" t="str">
        <f t="shared" si="15"/>
        <v/>
      </c>
      <c r="AP23" t="str">
        <f t="shared" si="16"/>
        <v/>
      </c>
      <c r="AQ23" t="str">
        <f t="shared" si="17"/>
        <v/>
      </c>
      <c r="AR23" t="str">
        <f t="shared" si="18"/>
        <v/>
      </c>
      <c r="AT23">
        <f t="shared" si="19"/>
        <v>-2.6224500000000006</v>
      </c>
      <c r="AU23">
        <f t="shared" si="20"/>
        <v>-1.0662999999999982</v>
      </c>
      <c r="AV23">
        <f t="shared" si="21"/>
        <v>0.65033999999999992</v>
      </c>
      <c r="AX23" t="str">
        <f t="shared" si="22"/>
        <v/>
      </c>
      <c r="AY23" t="str">
        <f t="shared" si="23"/>
        <v/>
      </c>
      <c r="AZ23" t="str">
        <f t="shared" si="24"/>
        <v/>
      </c>
      <c r="BC23" s="1">
        <f t="shared" si="25"/>
        <v>41494</v>
      </c>
      <c r="BD23">
        <f t="shared" si="26"/>
        <v>903.99999999999989</v>
      </c>
      <c r="BE23">
        <f t="shared" si="27"/>
        <v>46.707368181818183</v>
      </c>
      <c r="BF23">
        <f t="shared" si="28"/>
        <v>33.614707272727273</v>
      </c>
      <c r="BG23">
        <f t="shared" si="29"/>
        <v>6.5910736363636362</v>
      </c>
      <c r="BH23">
        <f t="shared" si="33"/>
        <v>5.2741199999999999</v>
      </c>
      <c r="BJ23" s="1">
        <f t="shared" ref="BJ23:BJ54" si="46">A23</f>
        <v>41494</v>
      </c>
      <c r="BK23">
        <f t="shared" ref="BK23:BK52" si="47">C23*D23</f>
        <v>903.99999999999989</v>
      </c>
      <c r="BL23">
        <f t="shared" si="43"/>
        <v>4.0023440625000006</v>
      </c>
      <c r="BO23" s="3">
        <v>44.251829999999998</v>
      </c>
      <c r="BP23" s="3">
        <v>32.832940000000001</v>
      </c>
      <c r="BQ23" s="3">
        <v>7.6921400000000002</v>
      </c>
      <c r="BR23" s="3">
        <v>6.73482</v>
      </c>
      <c r="BS23" s="3">
        <v>4.6367700000000003</v>
      </c>
      <c r="BU23">
        <f t="shared" si="30"/>
        <v>22.520255557129364</v>
      </c>
      <c r="BV23">
        <f t="shared" si="31"/>
        <v>25.006026338450681</v>
      </c>
      <c r="BX23">
        <f t="shared" si="34"/>
        <v>49.412398357503974</v>
      </c>
      <c r="BY23">
        <f t="shared" si="35"/>
        <v>38.563128449316558</v>
      </c>
      <c r="CA23" s="1">
        <f t="shared" si="36"/>
        <v>41494</v>
      </c>
      <c r="CB23">
        <f t="shared" si="37"/>
        <v>56.166072714750882</v>
      </c>
      <c r="CC23">
        <f t="shared" si="38"/>
        <v>43.833927285249111</v>
      </c>
    </row>
    <row r="24" spans="1:81" ht="15.75" thickBot="1" x14ac:dyDescent="0.3">
      <c r="A24" s="1">
        <v>41587</v>
      </c>
      <c r="B24" t="s">
        <v>8</v>
      </c>
      <c r="C24">
        <v>1136</v>
      </c>
      <c r="D24">
        <f t="shared" si="39"/>
        <v>1</v>
      </c>
      <c r="E24">
        <v>40</v>
      </c>
      <c r="F24">
        <v>32</v>
      </c>
      <c r="G24">
        <v>8</v>
      </c>
      <c r="J24">
        <v>55</v>
      </c>
      <c r="K24">
        <f t="shared" si="0"/>
        <v>0.5357142857142857</v>
      </c>
      <c r="M24" s="1" t="str">
        <f t="shared" si="1"/>
        <v/>
      </c>
      <c r="N24" t="str">
        <f t="shared" si="2"/>
        <v/>
      </c>
      <c r="O24" t="str">
        <f t="shared" si="3"/>
        <v/>
      </c>
      <c r="Q24">
        <f>Q$22+((($A24-$A$22)/(M$26-M$22))*(Q$26-Q$22))</f>
        <v>0.40789234375</v>
      </c>
      <c r="S24" s="2" t="str">
        <f t="shared" si="4"/>
        <v/>
      </c>
      <c r="T24" t="str">
        <f t="shared" si="5"/>
        <v/>
      </c>
      <c r="U24" t="str">
        <f t="shared" si="6"/>
        <v/>
      </c>
      <c r="W24">
        <f>W23+((($A24-$A23)/(S25-S23))*(W25-W23))</f>
        <v>0.33101316326530617</v>
      </c>
      <c r="Y24" s="1">
        <f t="shared" si="7"/>
        <v>41587</v>
      </c>
      <c r="Z24">
        <f t="shared" si="8"/>
        <v>1136</v>
      </c>
      <c r="AA24">
        <f t="shared" si="9"/>
        <v>40</v>
      </c>
      <c r="AB24">
        <f t="shared" si="10"/>
        <v>32</v>
      </c>
      <c r="AC24">
        <f t="shared" si="11"/>
        <v>8</v>
      </c>
      <c r="AD24">
        <f t="shared" si="12"/>
        <v>55</v>
      </c>
      <c r="AF24" s="3">
        <v>43.684269999999998</v>
      </c>
      <c r="AG24" s="3">
        <v>33.030700000000003</v>
      </c>
      <c r="AH24" s="3">
        <v>7.3396499999999998</v>
      </c>
      <c r="AI24" s="5">
        <f t="shared" si="44"/>
        <v>6.5039984201843746</v>
      </c>
      <c r="AJ24" s="3">
        <f t="shared" si="45"/>
        <v>5.2781306732673476</v>
      </c>
      <c r="AL24">
        <f t="shared" si="13"/>
        <v>3.6842699999999979</v>
      </c>
      <c r="AM24">
        <f t="shared" si="14"/>
        <v>1.0307000000000031</v>
      </c>
      <c r="AN24">
        <f t="shared" si="15"/>
        <v>-0.66035000000000021</v>
      </c>
      <c r="AP24" t="str">
        <f t="shared" si="16"/>
        <v/>
      </c>
      <c r="AQ24" t="str">
        <f t="shared" si="17"/>
        <v/>
      </c>
      <c r="AR24" t="str">
        <f t="shared" si="18"/>
        <v/>
      </c>
      <c r="AT24" t="str">
        <f t="shared" si="19"/>
        <v/>
      </c>
      <c r="AU24" t="str">
        <f t="shared" si="20"/>
        <v/>
      </c>
      <c r="AV24" t="str">
        <f t="shared" si="21"/>
        <v/>
      </c>
      <c r="AX24" t="str">
        <f t="shared" si="22"/>
        <v/>
      </c>
      <c r="AY24" t="str">
        <f t="shared" si="23"/>
        <v/>
      </c>
      <c r="AZ24" t="str">
        <f t="shared" si="24"/>
        <v/>
      </c>
      <c r="BC24" s="1">
        <f t="shared" si="25"/>
        <v>41587</v>
      </c>
      <c r="BD24">
        <f t="shared" si="26"/>
        <v>1136</v>
      </c>
      <c r="BE24">
        <f t="shared" si="27"/>
        <v>40.828401818181817</v>
      </c>
      <c r="BF24">
        <f t="shared" si="28"/>
        <v>33.370295454545456</v>
      </c>
      <c r="BG24">
        <f t="shared" si="29"/>
        <v>7.5798372727272731</v>
      </c>
      <c r="BH24">
        <f t="shared" si="33"/>
        <v>6.6202632653061233</v>
      </c>
      <c r="BJ24" s="1">
        <f t="shared" si="46"/>
        <v>41587</v>
      </c>
      <c r="BK24">
        <f t="shared" si="47"/>
        <v>1136</v>
      </c>
      <c r="BL24">
        <f t="shared" si="43"/>
        <v>8.1578468750000006</v>
      </c>
      <c r="BO24" s="3">
        <v>43.314929999999997</v>
      </c>
      <c r="BP24" s="3">
        <v>33.232799999999997</v>
      </c>
      <c r="BQ24" s="3">
        <v>7.5931800000000003</v>
      </c>
      <c r="BR24" s="3">
        <v>5.3931100000000001</v>
      </c>
      <c r="BS24" s="3">
        <v>6.7446000000000002</v>
      </c>
      <c r="BU24">
        <f t="shared" si="30"/>
        <v>22.560280543186529</v>
      </c>
      <c r="BV24">
        <f t="shared" si="31"/>
        <v>24.770825171262189</v>
      </c>
      <c r="BX24">
        <f t="shared" si="34"/>
        <v>48.605827905745571</v>
      </c>
      <c r="BY24">
        <f t="shared" si="35"/>
        <v>39.042120800392368</v>
      </c>
      <c r="CA24" s="1">
        <f t="shared" si="36"/>
        <v>41587</v>
      </c>
      <c r="CB24">
        <f t="shared" si="37"/>
        <v>55.455750674449874</v>
      </c>
      <c r="CC24">
        <f t="shared" si="38"/>
        <v>44.544249325550126</v>
      </c>
    </row>
    <row r="25" spans="1:81" ht="15.75" thickBot="1" x14ac:dyDescent="0.3">
      <c r="A25" s="1">
        <v>41592</v>
      </c>
      <c r="B25" s="1" t="s">
        <v>7</v>
      </c>
      <c r="C25">
        <v>800</v>
      </c>
      <c r="D25">
        <f t="shared" si="39"/>
        <v>1.1299999999999999</v>
      </c>
      <c r="E25">
        <v>45</v>
      </c>
      <c r="F25">
        <v>33</v>
      </c>
      <c r="G25">
        <v>8</v>
      </c>
      <c r="I25">
        <v>5</v>
      </c>
      <c r="J25">
        <v>57</v>
      </c>
      <c r="K25">
        <f t="shared" si="0"/>
        <v>0.54545454545454541</v>
      </c>
      <c r="M25" s="1" t="str">
        <f t="shared" si="1"/>
        <v/>
      </c>
      <c r="N25" t="str">
        <f t="shared" si="2"/>
        <v/>
      </c>
      <c r="O25" t="str">
        <f t="shared" si="3"/>
        <v/>
      </c>
      <c r="Q25">
        <f>Q$22+((($A25-$A$22)/(M$26-M$22))*(Q$26-Q$22))</f>
        <v>0.41189039062499999</v>
      </c>
      <c r="S25" s="2">
        <f t="shared" si="4"/>
        <v>41592</v>
      </c>
      <c r="T25">
        <f t="shared" si="5"/>
        <v>903.99999999999989</v>
      </c>
      <c r="U25">
        <f t="shared" si="6"/>
        <v>0.35714285714285715</v>
      </c>
      <c r="V25" s="3">
        <v>0.32518000000000002</v>
      </c>
      <c r="W25" s="5">
        <f t="shared" ref="W25:W37" si="48">V25</f>
        <v>0.32518000000000002</v>
      </c>
      <c r="X25" s="3"/>
      <c r="Y25" s="1">
        <f t="shared" si="7"/>
        <v>41592</v>
      </c>
      <c r="Z25">
        <f t="shared" si="8"/>
        <v>903.99999999999989</v>
      </c>
      <c r="AA25">
        <f t="shared" si="9"/>
        <v>45</v>
      </c>
      <c r="AB25">
        <f t="shared" si="10"/>
        <v>33</v>
      </c>
      <c r="AC25">
        <f t="shared" si="11"/>
        <v>8</v>
      </c>
      <c r="AD25">
        <f t="shared" si="12"/>
        <v>57</v>
      </c>
      <c r="AF25" s="3">
        <v>43.646999999999998</v>
      </c>
      <c r="AG25" s="3">
        <v>33.035910000000001</v>
      </c>
      <c r="AH25" s="3">
        <v>7.3229499999999996</v>
      </c>
      <c r="AI25" s="5">
        <f t="shared" si="44"/>
        <v>6.5878325723109379</v>
      </c>
      <c r="AJ25" s="3">
        <f t="shared" si="45"/>
        <v>5.2009744452000009</v>
      </c>
      <c r="AL25" t="str">
        <f t="shared" si="13"/>
        <v/>
      </c>
      <c r="AM25" t="str">
        <f t="shared" si="14"/>
        <v/>
      </c>
      <c r="AN25" t="str">
        <f t="shared" si="15"/>
        <v/>
      </c>
      <c r="AP25" t="str">
        <f t="shared" si="16"/>
        <v/>
      </c>
      <c r="AQ25" t="str">
        <f t="shared" si="17"/>
        <v/>
      </c>
      <c r="AR25" t="str">
        <f t="shared" si="18"/>
        <v/>
      </c>
      <c r="AT25">
        <f t="shared" si="19"/>
        <v>-1.3530000000000015</v>
      </c>
      <c r="AU25">
        <f t="shared" si="20"/>
        <v>3.5910000000001219E-2</v>
      </c>
      <c r="AV25">
        <f t="shared" si="21"/>
        <v>-0.67705000000000037</v>
      </c>
      <c r="AX25" t="str">
        <f t="shared" si="22"/>
        <v/>
      </c>
      <c r="AY25" t="str">
        <f t="shared" si="23"/>
        <v/>
      </c>
      <c r="AZ25" t="str">
        <f t="shared" si="24"/>
        <v/>
      </c>
      <c r="BC25" s="1">
        <f t="shared" si="25"/>
        <v>41592</v>
      </c>
      <c r="BD25">
        <f t="shared" si="26"/>
        <v>903.99999999999989</v>
      </c>
      <c r="BE25">
        <f t="shared" si="27"/>
        <v>44.707368181818183</v>
      </c>
      <c r="BF25">
        <f t="shared" si="28"/>
        <v>32.614707272727273</v>
      </c>
      <c r="BG25">
        <f t="shared" si="29"/>
        <v>7.5910736363636362</v>
      </c>
      <c r="BH25">
        <f t="shared" si="33"/>
        <v>4.5525200000000003</v>
      </c>
      <c r="BJ25" s="1">
        <f t="shared" si="46"/>
        <v>41592</v>
      </c>
      <c r="BK25">
        <f t="shared" si="47"/>
        <v>903.99999999999989</v>
      </c>
      <c r="BL25">
        <f t="shared" si="43"/>
        <v>5.7664654687499999</v>
      </c>
      <c r="BO25" s="3">
        <v>43.264560000000003</v>
      </c>
      <c r="BP25" s="3">
        <v>33.254300000000001</v>
      </c>
      <c r="BQ25" s="3">
        <v>7.58786</v>
      </c>
      <c r="BR25" s="3">
        <v>5.3514999999999997</v>
      </c>
      <c r="BS25" s="3">
        <v>6.8642099999999999</v>
      </c>
      <c r="BU25">
        <f t="shared" si="30"/>
        <v>22.562256127171672</v>
      </c>
      <c r="BV25">
        <f t="shared" si="31"/>
        <v>24.758776249575419</v>
      </c>
      <c r="BX25">
        <f t="shared" si="34"/>
        <v>48.56243494837976</v>
      </c>
      <c r="BY25">
        <f t="shared" si="35"/>
        <v>39.067942913449556</v>
      </c>
      <c r="CA25" s="1">
        <f t="shared" si="36"/>
        <v>41592</v>
      </c>
      <c r="CB25">
        <f t="shared" si="37"/>
        <v>55.417351988314259</v>
      </c>
      <c r="CC25">
        <f t="shared" si="38"/>
        <v>44.582648011685748</v>
      </c>
    </row>
    <row r="26" spans="1:81" ht="15.75" thickBot="1" x14ac:dyDescent="0.3">
      <c r="A26" s="1">
        <v>41593</v>
      </c>
      <c r="B26" t="s">
        <v>9</v>
      </c>
      <c r="C26">
        <v>737</v>
      </c>
      <c r="D26">
        <f t="shared" si="39"/>
        <v>0.56999999999999995</v>
      </c>
      <c r="E26">
        <v>46</v>
      </c>
      <c r="F26">
        <v>32</v>
      </c>
      <c r="G26">
        <v>7</v>
      </c>
      <c r="H26">
        <v>6</v>
      </c>
      <c r="I26">
        <v>3</v>
      </c>
      <c r="J26">
        <v>57</v>
      </c>
      <c r="K26">
        <f t="shared" si="0"/>
        <v>0.5</v>
      </c>
      <c r="M26" s="1">
        <f t="shared" si="1"/>
        <v>41593</v>
      </c>
      <c r="N26">
        <f t="shared" si="2"/>
        <v>420.09</v>
      </c>
      <c r="O26">
        <f t="shared" si="3"/>
        <v>0.4</v>
      </c>
      <c r="P26" s="3">
        <v>0.41269</v>
      </c>
      <c r="Q26" s="5">
        <f>P26</f>
        <v>0.41269</v>
      </c>
      <c r="R26" s="3"/>
      <c r="S26" s="2">
        <f t="shared" si="4"/>
        <v>41593</v>
      </c>
      <c r="T26">
        <f t="shared" si="5"/>
        <v>420.09</v>
      </c>
      <c r="U26">
        <f t="shared" si="6"/>
        <v>0.2</v>
      </c>
      <c r="V26" s="3">
        <v>0.32411000000000001</v>
      </c>
      <c r="W26" s="5">
        <f t="shared" si="48"/>
        <v>0.32411000000000001</v>
      </c>
      <c r="X26" s="3"/>
      <c r="Y26" s="1">
        <f t="shared" si="7"/>
        <v>41593</v>
      </c>
      <c r="Z26">
        <f t="shared" si="8"/>
        <v>420.09</v>
      </c>
      <c r="AA26">
        <f t="shared" si="9"/>
        <v>46</v>
      </c>
      <c r="AB26">
        <f t="shared" si="10"/>
        <v>32</v>
      </c>
      <c r="AC26">
        <f t="shared" si="11"/>
        <v>7</v>
      </c>
      <c r="AD26">
        <f t="shared" si="12"/>
        <v>57</v>
      </c>
      <c r="AF26" s="3">
        <v>43.62379</v>
      </c>
      <c r="AG26" s="3">
        <v>33.051949999999998</v>
      </c>
      <c r="AH26" s="3">
        <v>7.3196099999999999</v>
      </c>
      <c r="AI26" s="5">
        <f t="shared" si="44"/>
        <v>6.6049590085000052</v>
      </c>
      <c r="AJ26" s="3">
        <f t="shared" si="45"/>
        <v>5.1872671115000042</v>
      </c>
      <c r="AL26" t="str">
        <f t="shared" si="13"/>
        <v/>
      </c>
      <c r="AM26" t="str">
        <f t="shared" si="14"/>
        <v/>
      </c>
      <c r="AN26" t="str">
        <f t="shared" si="15"/>
        <v/>
      </c>
      <c r="AP26" t="str">
        <f t="shared" si="16"/>
        <v/>
      </c>
      <c r="AQ26" t="str">
        <f t="shared" si="17"/>
        <v/>
      </c>
      <c r="AR26" t="str">
        <f t="shared" si="18"/>
        <v/>
      </c>
      <c r="AT26" t="str">
        <f t="shared" si="19"/>
        <v/>
      </c>
      <c r="AU26" t="str">
        <f t="shared" si="20"/>
        <v/>
      </c>
      <c r="AV26" t="str">
        <f t="shared" si="21"/>
        <v/>
      </c>
      <c r="AX26">
        <f t="shared" si="22"/>
        <v>-2.3762100000000004</v>
      </c>
      <c r="AY26">
        <f t="shared" si="23"/>
        <v>1.0519499999999979</v>
      </c>
      <c r="AZ26">
        <f t="shared" si="24"/>
        <v>0.31960999999999995</v>
      </c>
      <c r="BC26" s="1">
        <f t="shared" si="25"/>
        <v>41593</v>
      </c>
      <c r="BD26">
        <f t="shared" si="26"/>
        <v>420.09</v>
      </c>
      <c r="BE26">
        <f t="shared" si="27"/>
        <v>46.298102</v>
      </c>
      <c r="BF26">
        <f t="shared" si="28"/>
        <v>31.412413000000001</v>
      </c>
      <c r="BG26">
        <f t="shared" si="29"/>
        <v>7.2179549999999999</v>
      </c>
      <c r="BH26">
        <f t="shared" si="33"/>
        <v>4.86165</v>
      </c>
      <c r="BJ26" s="1">
        <f t="shared" si="46"/>
        <v>41593</v>
      </c>
      <c r="BK26">
        <f t="shared" si="47"/>
        <v>420.09</v>
      </c>
      <c r="BL26">
        <f t="shared" si="43"/>
        <v>6.1903500000000005</v>
      </c>
      <c r="BO26" s="3">
        <v>43.2363</v>
      </c>
      <c r="BP26" s="3">
        <v>33.268329999999999</v>
      </c>
      <c r="BQ26" s="3">
        <v>7.5867899999999997</v>
      </c>
      <c r="BR26" s="3">
        <v>5.3431800000000003</v>
      </c>
      <c r="BS26" s="3">
        <v>6.8881300000000003</v>
      </c>
      <c r="BU26">
        <f t="shared" si="30"/>
        <v>22.562196476030824</v>
      </c>
      <c r="BV26">
        <f t="shared" si="31"/>
        <v>24.756045263412528</v>
      </c>
      <c r="BX26">
        <f t="shared" si="34"/>
        <v>48.537371542170405</v>
      </c>
      <c r="BY26">
        <f t="shared" si="35"/>
        <v>39.084854432006246</v>
      </c>
      <c r="CA26" s="1">
        <f t="shared" si="36"/>
        <v>41593</v>
      </c>
      <c r="CB26">
        <f t="shared" si="37"/>
        <v>55.393903775595668</v>
      </c>
      <c r="CC26">
        <f t="shared" si="38"/>
        <v>44.60609622440434</v>
      </c>
    </row>
    <row r="27" spans="1:81" ht="15.75" thickBot="1" x14ac:dyDescent="0.3">
      <c r="A27" s="1">
        <v>41623</v>
      </c>
      <c r="B27" t="s">
        <v>9</v>
      </c>
      <c r="C27">
        <v>551</v>
      </c>
      <c r="D27">
        <f t="shared" si="39"/>
        <v>0.56999999999999995</v>
      </c>
      <c r="E27">
        <v>44</v>
      </c>
      <c r="F27">
        <v>34</v>
      </c>
      <c r="G27">
        <v>5</v>
      </c>
      <c r="H27">
        <v>9</v>
      </c>
      <c r="I27">
        <v>3</v>
      </c>
      <c r="J27">
        <v>55</v>
      </c>
      <c r="K27">
        <f t="shared" si="0"/>
        <v>0.5</v>
      </c>
      <c r="M27" s="1">
        <f t="shared" si="1"/>
        <v>41623</v>
      </c>
      <c r="N27">
        <f t="shared" si="2"/>
        <v>314.07</v>
      </c>
      <c r="O27">
        <f t="shared" si="3"/>
        <v>0.52941176470588236</v>
      </c>
      <c r="P27" s="3">
        <v>0.43657000000000001</v>
      </c>
      <c r="Q27" s="5">
        <f>P27</f>
        <v>0.43657000000000001</v>
      </c>
      <c r="R27" s="3"/>
      <c r="S27" s="2">
        <f t="shared" si="4"/>
        <v>41623</v>
      </c>
      <c r="T27">
        <f t="shared" si="5"/>
        <v>314.07</v>
      </c>
      <c r="U27">
        <f t="shared" si="6"/>
        <v>0.17647058823529413</v>
      </c>
      <c r="V27" s="3">
        <v>0.29182999999999998</v>
      </c>
      <c r="W27" s="5">
        <f t="shared" si="48"/>
        <v>0.29182999999999998</v>
      </c>
      <c r="X27" s="3"/>
      <c r="Y27" s="1">
        <f t="shared" si="7"/>
        <v>41623</v>
      </c>
      <c r="Z27">
        <f t="shared" si="8"/>
        <v>314.07</v>
      </c>
      <c r="AA27">
        <f t="shared" si="9"/>
        <v>44</v>
      </c>
      <c r="AB27">
        <f t="shared" si="10"/>
        <v>34</v>
      </c>
      <c r="AC27">
        <f t="shared" si="11"/>
        <v>5</v>
      </c>
      <c r="AD27">
        <f t="shared" si="12"/>
        <v>55</v>
      </c>
      <c r="AF27" s="3">
        <v>42.699260000000002</v>
      </c>
      <c r="AG27" s="3">
        <v>34.500630000000001</v>
      </c>
      <c r="AH27" s="3">
        <v>7.2193899999999998</v>
      </c>
      <c r="AI27" s="5">
        <f t="shared" si="44"/>
        <v>6.8020749303999937</v>
      </c>
      <c r="AJ27" s="3">
        <f t="shared" si="45"/>
        <v>4.5469215175999951</v>
      </c>
      <c r="AL27" t="str">
        <f t="shared" si="13"/>
        <v/>
      </c>
      <c r="AM27" t="str">
        <f t="shared" si="14"/>
        <v/>
      </c>
      <c r="AN27" t="str">
        <f t="shared" si="15"/>
        <v/>
      </c>
      <c r="AP27" t="str">
        <f t="shared" si="16"/>
        <v/>
      </c>
      <c r="AQ27" t="str">
        <f t="shared" si="17"/>
        <v/>
      </c>
      <c r="AR27" t="str">
        <f t="shared" si="18"/>
        <v/>
      </c>
      <c r="AT27" t="str">
        <f t="shared" si="19"/>
        <v/>
      </c>
      <c r="AU27" t="str">
        <f t="shared" si="20"/>
        <v/>
      </c>
      <c r="AV27" t="str">
        <f t="shared" si="21"/>
        <v/>
      </c>
      <c r="AX27">
        <f t="shared" si="22"/>
        <v>-1.3007399999999976</v>
      </c>
      <c r="AY27">
        <f t="shared" si="23"/>
        <v>0.50063000000000102</v>
      </c>
      <c r="AZ27">
        <f t="shared" si="24"/>
        <v>2.2193899999999998</v>
      </c>
      <c r="BC27" s="1">
        <f t="shared" si="25"/>
        <v>41623</v>
      </c>
      <c r="BD27">
        <f t="shared" si="26"/>
        <v>314.07</v>
      </c>
      <c r="BE27">
        <f t="shared" si="27"/>
        <v>44.298102</v>
      </c>
      <c r="BF27">
        <f t="shared" si="28"/>
        <v>33.412413000000001</v>
      </c>
      <c r="BG27">
        <f t="shared" si="29"/>
        <v>5.2179549999999999</v>
      </c>
      <c r="BH27">
        <f t="shared" si="33"/>
        <v>4.9611099999999997</v>
      </c>
      <c r="BJ27" s="1">
        <f t="shared" si="46"/>
        <v>41623</v>
      </c>
      <c r="BK27">
        <f t="shared" si="47"/>
        <v>314.07</v>
      </c>
      <c r="BL27">
        <f t="shared" si="43"/>
        <v>7.4216899999999999</v>
      </c>
      <c r="BO27" s="3">
        <v>42.541310000000003</v>
      </c>
      <c r="BP27" s="3">
        <v>34.243980000000001</v>
      </c>
      <c r="BQ27" s="3">
        <v>7.5548700000000002</v>
      </c>
      <c r="BR27" s="3">
        <v>4.8369600000000004</v>
      </c>
      <c r="BS27" s="3">
        <v>7.0826700000000002</v>
      </c>
      <c r="BU27">
        <f t="shared" si="30"/>
        <v>22.439233118638342</v>
      </c>
      <c r="BV27">
        <f t="shared" si="31"/>
        <v>25.073508039480906</v>
      </c>
      <c r="BX27">
        <f t="shared" si="34"/>
        <v>47.750512894715847</v>
      </c>
      <c r="BY27">
        <f t="shared" si="35"/>
        <v>40.064722178192177</v>
      </c>
      <c r="CA27" s="1">
        <f t="shared" si="36"/>
        <v>41623</v>
      </c>
      <c r="CB27">
        <f t="shared" si="37"/>
        <v>54.376114640097803</v>
      </c>
      <c r="CC27">
        <f t="shared" si="38"/>
        <v>45.623885359902189</v>
      </c>
    </row>
    <row r="28" spans="1:81" ht="15.75" thickBot="1" x14ac:dyDescent="0.3">
      <c r="A28" s="1">
        <v>41654</v>
      </c>
      <c r="B28" t="s">
        <v>9</v>
      </c>
      <c r="C28">
        <v>545</v>
      </c>
      <c r="D28">
        <f t="shared" si="39"/>
        <v>0.56999999999999995</v>
      </c>
      <c r="E28">
        <v>40</v>
      </c>
      <c r="F28">
        <v>38</v>
      </c>
      <c r="G28">
        <v>6</v>
      </c>
      <c r="H28">
        <v>6</v>
      </c>
      <c r="I28">
        <v>3</v>
      </c>
      <c r="J28">
        <v>50</v>
      </c>
      <c r="K28">
        <f t="shared" si="0"/>
        <v>0.45454545454545453</v>
      </c>
      <c r="M28" s="1">
        <f t="shared" si="1"/>
        <v>41654</v>
      </c>
      <c r="N28">
        <f t="shared" si="2"/>
        <v>310.64999999999998</v>
      </c>
      <c r="O28">
        <f t="shared" si="3"/>
        <v>0.375</v>
      </c>
      <c r="P28" s="3">
        <v>0.46204000000000001</v>
      </c>
      <c r="Q28" s="5">
        <f>P28</f>
        <v>0.46204000000000001</v>
      </c>
      <c r="R28" s="3"/>
      <c r="S28" s="2">
        <f t="shared" si="4"/>
        <v>41654</v>
      </c>
      <c r="T28">
        <f t="shared" si="5"/>
        <v>310.64999999999998</v>
      </c>
      <c r="U28">
        <f t="shared" si="6"/>
        <v>0.1875</v>
      </c>
      <c r="V28" s="3">
        <v>0.26040000000000002</v>
      </c>
      <c r="W28" s="5">
        <f t="shared" si="48"/>
        <v>0.26040000000000002</v>
      </c>
      <c r="X28" s="3"/>
      <c r="Y28" s="1">
        <f t="shared" si="7"/>
        <v>41654</v>
      </c>
      <c r="Z28">
        <f t="shared" si="8"/>
        <v>310.64999999999998</v>
      </c>
      <c r="AA28">
        <f t="shared" si="9"/>
        <v>40</v>
      </c>
      <c r="AB28">
        <f t="shared" si="10"/>
        <v>38</v>
      </c>
      <c r="AC28">
        <f t="shared" si="11"/>
        <v>6</v>
      </c>
      <c r="AD28">
        <f t="shared" si="12"/>
        <v>50</v>
      </c>
      <c r="AF28" s="3">
        <v>41.743920000000003</v>
      </c>
      <c r="AG28" s="3">
        <v>35.997590000000002</v>
      </c>
      <c r="AH28" s="3">
        <v>7.1158200000000003</v>
      </c>
      <c r="AI28" s="5">
        <f t="shared" si="44"/>
        <v>6.9965192467999984</v>
      </c>
      <c r="AJ28" s="3">
        <f t="shared" si="45"/>
        <v>3.9431512679999989</v>
      </c>
      <c r="AL28" t="str">
        <f t="shared" si="13"/>
        <v/>
      </c>
      <c r="AM28" t="str">
        <f t="shared" si="14"/>
        <v/>
      </c>
      <c r="AN28" t="str">
        <f t="shared" si="15"/>
        <v/>
      </c>
      <c r="AP28" t="str">
        <f t="shared" si="16"/>
        <v/>
      </c>
      <c r="AQ28" t="str">
        <f t="shared" si="17"/>
        <v/>
      </c>
      <c r="AR28" t="str">
        <f t="shared" si="18"/>
        <v/>
      </c>
      <c r="AT28" t="str">
        <f t="shared" si="19"/>
        <v/>
      </c>
      <c r="AU28" t="str">
        <f t="shared" si="20"/>
        <v/>
      </c>
      <c r="AV28" t="str">
        <f t="shared" si="21"/>
        <v/>
      </c>
      <c r="AX28">
        <f t="shared" si="22"/>
        <v>1.7439200000000028</v>
      </c>
      <c r="AY28">
        <f t="shared" si="23"/>
        <v>-2.0024099999999976</v>
      </c>
      <c r="AZ28">
        <f t="shared" si="24"/>
        <v>1.1158200000000003</v>
      </c>
      <c r="BC28" s="1">
        <f t="shared" si="25"/>
        <v>41654</v>
      </c>
      <c r="BD28">
        <f t="shared" si="26"/>
        <v>310.64999999999998</v>
      </c>
      <c r="BE28">
        <f t="shared" si="27"/>
        <v>40.298102</v>
      </c>
      <c r="BF28">
        <f t="shared" si="28"/>
        <v>37.412413000000001</v>
      </c>
      <c r="BG28">
        <f t="shared" si="29"/>
        <v>6.2179549999999999</v>
      </c>
      <c r="BH28">
        <f t="shared" si="33"/>
        <v>4.1664000000000003</v>
      </c>
      <c r="BJ28" s="1">
        <f t="shared" si="46"/>
        <v>41654</v>
      </c>
      <c r="BK28">
        <f t="shared" si="47"/>
        <v>310.64999999999998</v>
      </c>
      <c r="BL28">
        <f t="shared" si="43"/>
        <v>7.3926400000000001</v>
      </c>
      <c r="BO28" s="3">
        <v>41.823149999999998</v>
      </c>
      <c r="BP28" s="3">
        <v>35.252139999999997</v>
      </c>
      <c r="BQ28" s="3">
        <v>7.5218800000000003</v>
      </c>
      <c r="BR28" s="3">
        <v>4.1814200000000001</v>
      </c>
      <c r="BS28" s="3">
        <v>7.2836999999999996</v>
      </c>
      <c r="BU28">
        <f t="shared" si="30"/>
        <v>22.31231508860003</v>
      </c>
      <c r="BV28">
        <f t="shared" si="31"/>
        <v>25.401984350817571</v>
      </c>
      <c r="BX28">
        <f t="shared" si="34"/>
        <v>46.9381835283478</v>
      </c>
      <c r="BY28">
        <f t="shared" si="35"/>
        <v>41.075471246670311</v>
      </c>
      <c r="CA28" s="1">
        <f t="shared" si="36"/>
        <v>41654</v>
      </c>
      <c r="CB28">
        <f t="shared" si="37"/>
        <v>53.33056972617706</v>
      </c>
      <c r="CC28">
        <f t="shared" si="38"/>
        <v>46.66943027382294</v>
      </c>
    </row>
    <row r="29" spans="1:81" ht="15.75" thickBot="1" x14ac:dyDescent="0.3">
      <c r="A29" s="1">
        <v>41676</v>
      </c>
      <c r="B29" s="1" t="s">
        <v>7</v>
      </c>
      <c r="C29">
        <v>800</v>
      </c>
      <c r="D29">
        <f t="shared" si="39"/>
        <v>1.1299999999999999</v>
      </c>
      <c r="E29">
        <v>41</v>
      </c>
      <c r="F29">
        <v>36</v>
      </c>
      <c r="G29">
        <v>8</v>
      </c>
      <c r="I29">
        <v>6</v>
      </c>
      <c r="J29">
        <v>53</v>
      </c>
      <c r="K29">
        <f t="shared" si="0"/>
        <v>0.52173913043478259</v>
      </c>
      <c r="M29" s="1" t="str">
        <f t="shared" si="1"/>
        <v/>
      </c>
      <c r="N29" t="str">
        <f t="shared" si="2"/>
        <v/>
      </c>
      <c r="O29" t="str">
        <f t="shared" si="3"/>
        <v/>
      </c>
      <c r="Q29">
        <f>Q28+((($A29-$A28)/(M30-M28))*(Q30-Q28))</f>
        <v>0.48010838709677417</v>
      </c>
      <c r="S29" s="2">
        <f t="shared" si="4"/>
        <v>41676</v>
      </c>
      <c r="T29">
        <f t="shared" si="5"/>
        <v>903.99999999999989</v>
      </c>
      <c r="U29">
        <f t="shared" si="6"/>
        <v>0.4</v>
      </c>
      <c r="V29" s="3">
        <v>0.23810000000000001</v>
      </c>
      <c r="W29" s="5">
        <f t="shared" si="48"/>
        <v>0.23810000000000001</v>
      </c>
      <c r="X29" s="3"/>
      <c r="Y29" s="1">
        <f t="shared" si="7"/>
        <v>41676</v>
      </c>
      <c r="Z29">
        <f t="shared" si="8"/>
        <v>903.99999999999989</v>
      </c>
      <c r="AA29">
        <f t="shared" si="9"/>
        <v>41</v>
      </c>
      <c r="AB29">
        <f t="shared" si="10"/>
        <v>36</v>
      </c>
      <c r="AC29">
        <f t="shared" si="11"/>
        <v>8</v>
      </c>
      <c r="AD29">
        <f t="shared" si="12"/>
        <v>53</v>
      </c>
      <c r="AF29" s="3">
        <v>40.978830000000002</v>
      </c>
      <c r="AG29" s="3">
        <v>36.432180000000002</v>
      </c>
      <c r="AH29" s="3">
        <v>7.0423299999999998</v>
      </c>
      <c r="AI29" s="5">
        <f t="shared" si="44"/>
        <v>7.4640818573419363</v>
      </c>
      <c r="AJ29" s="3">
        <f t="shared" si="45"/>
        <v>3.7016597460000007</v>
      </c>
      <c r="AL29" t="str">
        <f t="shared" si="13"/>
        <v/>
      </c>
      <c r="AM29" t="str">
        <f t="shared" si="14"/>
        <v/>
      </c>
      <c r="AN29" t="str">
        <f t="shared" si="15"/>
        <v/>
      </c>
      <c r="AP29" t="str">
        <f t="shared" si="16"/>
        <v/>
      </c>
      <c r="AQ29" t="str">
        <f t="shared" si="17"/>
        <v/>
      </c>
      <c r="AR29" t="str">
        <f t="shared" si="18"/>
        <v/>
      </c>
      <c r="AT29">
        <f t="shared" si="19"/>
        <v>-2.1169999999997913E-2</v>
      </c>
      <c r="AU29">
        <f t="shared" si="20"/>
        <v>0.43218000000000245</v>
      </c>
      <c r="AV29">
        <f t="shared" si="21"/>
        <v>-0.95767000000000024</v>
      </c>
      <c r="AX29" t="str">
        <f t="shared" si="22"/>
        <v/>
      </c>
      <c r="AY29" t="str">
        <f t="shared" si="23"/>
        <v/>
      </c>
      <c r="AZ29" t="str">
        <f t="shared" si="24"/>
        <v/>
      </c>
      <c r="BC29" s="1">
        <f t="shared" si="25"/>
        <v>41676</v>
      </c>
      <c r="BD29">
        <f t="shared" si="26"/>
        <v>903.99999999999989</v>
      </c>
      <c r="BE29">
        <f t="shared" si="27"/>
        <v>40.707368181818183</v>
      </c>
      <c r="BF29">
        <f t="shared" si="28"/>
        <v>35.614707272727273</v>
      </c>
      <c r="BG29">
        <f t="shared" si="29"/>
        <v>7.5910736363636362</v>
      </c>
      <c r="BH29">
        <f t="shared" si="33"/>
        <v>3.5714999999999999</v>
      </c>
      <c r="BJ29" s="1">
        <f t="shared" si="46"/>
        <v>41676</v>
      </c>
      <c r="BK29">
        <f t="shared" si="47"/>
        <v>903.99999999999989</v>
      </c>
      <c r="BL29">
        <f t="shared" si="43"/>
        <v>7.201625806451613</v>
      </c>
      <c r="BO29" s="3">
        <v>41.23236</v>
      </c>
      <c r="BP29" s="3">
        <v>36.213200000000001</v>
      </c>
      <c r="BQ29" s="3">
        <v>7.4984700000000002</v>
      </c>
      <c r="BR29" s="3">
        <v>3.7162099999999998</v>
      </c>
      <c r="BS29" s="3">
        <v>7.4923799999999998</v>
      </c>
      <c r="BU29">
        <f t="shared" si="30"/>
        <v>22.18002072202745</v>
      </c>
      <c r="BV29">
        <f t="shared" si="31"/>
        <v>25.762905213403975</v>
      </c>
      <c r="BX29">
        <f t="shared" si="34"/>
        <v>46.234939465737249</v>
      </c>
      <c r="BY29">
        <f t="shared" si="35"/>
        <v>42.023878998614073</v>
      </c>
      <c r="CA29" s="1">
        <f t="shared" si="36"/>
        <v>41676</v>
      </c>
      <c r="CB29">
        <f t="shared" si="37"/>
        <v>52.385631566563553</v>
      </c>
      <c r="CC29">
        <f t="shared" si="38"/>
        <v>47.614368433436447</v>
      </c>
    </row>
    <row r="30" spans="1:81" ht="15.75" thickBot="1" x14ac:dyDescent="0.3">
      <c r="A30" s="1">
        <v>41685</v>
      </c>
      <c r="B30" t="s">
        <v>9</v>
      </c>
      <c r="C30">
        <v>745</v>
      </c>
      <c r="D30">
        <f t="shared" si="39"/>
        <v>0.56999999999999995</v>
      </c>
      <c r="E30">
        <v>39</v>
      </c>
      <c r="F30">
        <v>39</v>
      </c>
      <c r="G30">
        <v>8</v>
      </c>
      <c r="H30">
        <v>7</v>
      </c>
      <c r="I30">
        <v>2</v>
      </c>
      <c r="J30">
        <v>50</v>
      </c>
      <c r="K30">
        <f t="shared" si="0"/>
        <v>0.5</v>
      </c>
      <c r="M30" s="1">
        <f t="shared" si="1"/>
        <v>41685</v>
      </c>
      <c r="N30">
        <f t="shared" si="2"/>
        <v>424.65</v>
      </c>
      <c r="O30">
        <f t="shared" si="3"/>
        <v>0.5</v>
      </c>
      <c r="P30" s="3">
        <v>0.48749999999999999</v>
      </c>
      <c r="Q30" s="5">
        <f>P30</f>
        <v>0.48749999999999999</v>
      </c>
      <c r="R30" s="3"/>
      <c r="S30" s="2">
        <f t="shared" si="4"/>
        <v>41685</v>
      </c>
      <c r="T30">
        <f t="shared" si="5"/>
        <v>424.65</v>
      </c>
      <c r="U30">
        <f t="shared" si="6"/>
        <v>0.14285714285714285</v>
      </c>
      <c r="V30" s="3">
        <v>0.22897000000000001</v>
      </c>
      <c r="W30" s="5">
        <f t="shared" si="48"/>
        <v>0.22897000000000001</v>
      </c>
      <c r="X30" s="3"/>
      <c r="Y30" s="1">
        <f t="shared" si="7"/>
        <v>41685</v>
      </c>
      <c r="Z30">
        <f t="shared" si="8"/>
        <v>424.65</v>
      </c>
      <c r="AA30">
        <f t="shared" si="9"/>
        <v>39</v>
      </c>
      <c r="AB30">
        <f t="shared" si="10"/>
        <v>39</v>
      </c>
      <c r="AC30">
        <f t="shared" si="11"/>
        <v>8</v>
      </c>
      <c r="AD30">
        <f t="shared" si="12"/>
        <v>50</v>
      </c>
      <c r="AF30" s="3">
        <v>40.713540000000002</v>
      </c>
      <c r="AG30" s="3">
        <v>36.454819999999998</v>
      </c>
      <c r="AH30" s="3">
        <v>7.0523100000000003</v>
      </c>
      <c r="AI30" s="5">
        <f t="shared" si="44"/>
        <v>7.6924233749999935</v>
      </c>
      <c r="AJ30" s="3">
        <f t="shared" si="45"/>
        <v>3.6129931900999974</v>
      </c>
      <c r="AL30" t="str">
        <f t="shared" si="13"/>
        <v/>
      </c>
      <c r="AM30" t="str">
        <f t="shared" si="14"/>
        <v/>
      </c>
      <c r="AN30" t="str">
        <f t="shared" si="15"/>
        <v/>
      </c>
      <c r="AP30" t="str">
        <f t="shared" si="16"/>
        <v/>
      </c>
      <c r="AQ30" t="str">
        <f t="shared" si="17"/>
        <v/>
      </c>
      <c r="AR30" t="str">
        <f t="shared" si="18"/>
        <v/>
      </c>
      <c r="AT30" t="str">
        <f t="shared" si="19"/>
        <v/>
      </c>
      <c r="AU30" t="str">
        <f t="shared" si="20"/>
        <v/>
      </c>
      <c r="AV30" t="str">
        <f t="shared" si="21"/>
        <v/>
      </c>
      <c r="AX30">
        <f t="shared" si="22"/>
        <v>1.7135400000000018</v>
      </c>
      <c r="AY30">
        <f t="shared" si="23"/>
        <v>-2.545180000000002</v>
      </c>
      <c r="AZ30">
        <f t="shared" si="24"/>
        <v>-0.9476899999999997</v>
      </c>
      <c r="BC30" s="1">
        <f t="shared" si="25"/>
        <v>41685</v>
      </c>
      <c r="BD30">
        <f t="shared" si="26"/>
        <v>424.65</v>
      </c>
      <c r="BE30">
        <f t="shared" si="27"/>
        <v>39.298102</v>
      </c>
      <c r="BF30">
        <f t="shared" si="28"/>
        <v>38.412413000000001</v>
      </c>
      <c r="BG30">
        <f t="shared" si="29"/>
        <v>8.2179549999999999</v>
      </c>
      <c r="BH30">
        <f t="shared" si="33"/>
        <v>3.2055800000000003</v>
      </c>
      <c r="BJ30" s="1">
        <f t="shared" si="46"/>
        <v>41685</v>
      </c>
      <c r="BK30">
        <f t="shared" si="47"/>
        <v>424.65</v>
      </c>
      <c r="BL30">
        <f t="shared" si="43"/>
        <v>6.8250000000000002</v>
      </c>
      <c r="BO30" s="3">
        <v>41.025019999999998</v>
      </c>
      <c r="BP30" s="3">
        <v>36.198500000000003</v>
      </c>
      <c r="BQ30" s="3">
        <v>7.4967699999999997</v>
      </c>
      <c r="BR30" s="3">
        <v>3.5757699999999999</v>
      </c>
      <c r="BS30" s="3">
        <v>7.57775</v>
      </c>
      <c r="BU30">
        <f t="shared" si="30"/>
        <v>22.201248091217533</v>
      </c>
      <c r="BV30">
        <f t="shared" si="31"/>
        <v>25.673845986299092</v>
      </c>
      <c r="BX30">
        <f t="shared" si="34"/>
        <v>46.081682831246539</v>
      </c>
      <c r="BY30">
        <f t="shared" si="35"/>
        <v>42.046098396300216</v>
      </c>
      <c r="CA30" s="1">
        <f t="shared" si="36"/>
        <v>41685</v>
      </c>
      <c r="CB30">
        <f t="shared" si="37"/>
        <v>52.289621035917378</v>
      </c>
      <c r="CC30">
        <f t="shared" si="38"/>
        <v>47.710378964082608</v>
      </c>
    </row>
    <row r="31" spans="1:81" ht="15.75" thickBot="1" x14ac:dyDescent="0.3">
      <c r="A31" s="1">
        <v>41693</v>
      </c>
      <c r="B31" s="1" t="s">
        <v>8</v>
      </c>
      <c r="C31">
        <v>1136</v>
      </c>
      <c r="D31">
        <f t="shared" si="39"/>
        <v>1</v>
      </c>
      <c r="E31">
        <v>40</v>
      </c>
      <c r="F31">
        <v>36</v>
      </c>
      <c r="G31">
        <v>8</v>
      </c>
      <c r="I31">
        <v>1</v>
      </c>
      <c r="J31">
        <v>52</v>
      </c>
      <c r="K31">
        <f t="shared" si="0"/>
        <v>0.5</v>
      </c>
      <c r="M31" s="1" t="str">
        <f t="shared" si="1"/>
        <v/>
      </c>
      <c r="N31" t="str">
        <f t="shared" si="2"/>
        <v/>
      </c>
      <c r="O31" t="str">
        <f t="shared" si="3"/>
        <v/>
      </c>
      <c r="Q31">
        <f>Q30+((($A31-$A30)/(M32-M30))*(Q32-Q30))</f>
        <v>0.49366571428571426</v>
      </c>
      <c r="S31" s="2">
        <f t="shared" si="4"/>
        <v>41693</v>
      </c>
      <c r="T31">
        <f t="shared" si="5"/>
        <v>1136</v>
      </c>
      <c r="U31">
        <f t="shared" si="6"/>
        <v>6.25E-2</v>
      </c>
      <c r="V31" s="3">
        <v>0.22142000000000001</v>
      </c>
      <c r="W31" s="5">
        <f t="shared" si="48"/>
        <v>0.22142000000000001</v>
      </c>
      <c r="X31" s="3"/>
      <c r="Y31" s="1">
        <f t="shared" si="7"/>
        <v>41693</v>
      </c>
      <c r="Z31">
        <f t="shared" si="8"/>
        <v>1136</v>
      </c>
      <c r="AA31">
        <f t="shared" si="9"/>
        <v>40</v>
      </c>
      <c r="AB31">
        <f t="shared" si="10"/>
        <v>36</v>
      </c>
      <c r="AC31">
        <f t="shared" si="11"/>
        <v>8</v>
      </c>
      <c r="AD31">
        <f t="shared" si="12"/>
        <v>52</v>
      </c>
      <c r="AF31" s="3">
        <v>40.477730000000001</v>
      </c>
      <c r="AG31" s="3">
        <v>36.474939999999997</v>
      </c>
      <c r="AH31" s="3">
        <v>7.0611899999999999</v>
      </c>
      <c r="AI31" s="5">
        <f t="shared" si="44"/>
        <v>7.8918092217714308</v>
      </c>
      <c r="AJ31" s="3">
        <f t="shared" si="45"/>
        <v>3.5396511188000015</v>
      </c>
      <c r="AL31">
        <f t="shared" si="13"/>
        <v>0.4777300000000011</v>
      </c>
      <c r="AM31">
        <f t="shared" si="14"/>
        <v>0.47493999999999659</v>
      </c>
      <c r="AN31">
        <f t="shared" si="15"/>
        <v>-0.93881000000000014</v>
      </c>
      <c r="AP31" t="str">
        <f t="shared" si="16"/>
        <v/>
      </c>
      <c r="AQ31" t="str">
        <f t="shared" si="17"/>
        <v/>
      </c>
      <c r="AR31" t="str">
        <f t="shared" si="18"/>
        <v/>
      </c>
      <c r="AT31" t="str">
        <f t="shared" si="19"/>
        <v/>
      </c>
      <c r="AU31" t="str">
        <f t="shared" si="20"/>
        <v/>
      </c>
      <c r="AV31" t="str">
        <f t="shared" si="21"/>
        <v/>
      </c>
      <c r="AX31" t="str">
        <f t="shared" si="22"/>
        <v/>
      </c>
      <c r="AY31" t="str">
        <f t="shared" si="23"/>
        <v/>
      </c>
      <c r="AZ31" t="str">
        <f t="shared" si="24"/>
        <v/>
      </c>
      <c r="BC31" s="1">
        <f t="shared" si="25"/>
        <v>41693</v>
      </c>
      <c r="BD31">
        <f t="shared" si="26"/>
        <v>1136</v>
      </c>
      <c r="BE31">
        <f t="shared" si="27"/>
        <v>40.828401818181817</v>
      </c>
      <c r="BF31">
        <f t="shared" si="28"/>
        <v>37.370295454545456</v>
      </c>
      <c r="BG31">
        <f t="shared" si="29"/>
        <v>7.5798372727272731</v>
      </c>
      <c r="BH31">
        <f t="shared" si="33"/>
        <v>3.5427200000000001</v>
      </c>
      <c r="BJ31" s="1">
        <f t="shared" si="46"/>
        <v>41693</v>
      </c>
      <c r="BK31">
        <f t="shared" si="47"/>
        <v>1136</v>
      </c>
      <c r="BL31">
        <f t="shared" si="43"/>
        <v>7.8986514285714282</v>
      </c>
      <c r="BO31" s="3">
        <v>40.840719999999997</v>
      </c>
      <c r="BP31" s="3">
        <v>36.185420000000001</v>
      </c>
      <c r="BQ31" s="3">
        <v>7.4952500000000004</v>
      </c>
      <c r="BR31" s="3">
        <v>3.4754200000000002</v>
      </c>
      <c r="BS31" s="3">
        <v>7.7201500000000003</v>
      </c>
      <c r="BU31">
        <f t="shared" si="30"/>
        <v>22.219562111328283</v>
      </c>
      <c r="BV31">
        <f t="shared" si="31"/>
        <v>25.596612409799288</v>
      </c>
      <c r="BX31">
        <f t="shared" si="34"/>
        <v>45.945411092069605</v>
      </c>
      <c r="BY31">
        <f t="shared" si="35"/>
        <v>42.065949899769919</v>
      </c>
      <c r="CA31" s="1">
        <f t="shared" si="36"/>
        <v>41693</v>
      </c>
      <c r="CB31">
        <f t="shared" si="37"/>
        <v>52.203954778440135</v>
      </c>
      <c r="CC31">
        <f t="shared" si="38"/>
        <v>47.796045221559865</v>
      </c>
    </row>
    <row r="32" spans="1:81" ht="15.75" thickBot="1" x14ac:dyDescent="0.3">
      <c r="A32" s="1">
        <v>41713</v>
      </c>
      <c r="B32" t="s">
        <v>9</v>
      </c>
      <c r="C32">
        <v>733</v>
      </c>
      <c r="D32">
        <f t="shared" si="39"/>
        <v>0.56999999999999995</v>
      </c>
      <c r="E32">
        <v>41</v>
      </c>
      <c r="F32">
        <v>34</v>
      </c>
      <c r="G32">
        <v>7</v>
      </c>
      <c r="H32">
        <v>8</v>
      </c>
      <c r="I32">
        <v>3</v>
      </c>
      <c r="J32">
        <v>53</v>
      </c>
      <c r="K32">
        <f t="shared" si="0"/>
        <v>0.48</v>
      </c>
      <c r="M32" s="1">
        <f t="shared" si="1"/>
        <v>41713</v>
      </c>
      <c r="N32">
        <f t="shared" si="2"/>
        <v>417.80999999999995</v>
      </c>
      <c r="O32">
        <f t="shared" si="3"/>
        <v>0.44444444444444442</v>
      </c>
      <c r="P32" s="3">
        <v>0.50907999999999998</v>
      </c>
      <c r="Q32" s="5">
        <f>P32</f>
        <v>0.50907999999999998</v>
      </c>
      <c r="R32" s="3"/>
      <c r="S32" s="2">
        <f t="shared" si="4"/>
        <v>41713</v>
      </c>
      <c r="T32">
        <f t="shared" si="5"/>
        <v>417.80999999999995</v>
      </c>
      <c r="U32">
        <f t="shared" si="6"/>
        <v>0.16666666666666666</v>
      </c>
      <c r="V32" s="3">
        <v>0.20255000000000001</v>
      </c>
      <c r="W32" s="5">
        <f t="shared" si="48"/>
        <v>0.20255000000000001</v>
      </c>
      <c r="X32" s="3"/>
      <c r="Y32" s="1">
        <f t="shared" si="7"/>
        <v>41713</v>
      </c>
      <c r="Z32">
        <f t="shared" si="8"/>
        <v>417.80999999999995</v>
      </c>
      <c r="AA32">
        <f t="shared" si="9"/>
        <v>41</v>
      </c>
      <c r="AB32">
        <f t="shared" si="10"/>
        <v>34</v>
      </c>
      <c r="AC32">
        <f t="shared" si="11"/>
        <v>7</v>
      </c>
      <c r="AD32">
        <f t="shared" si="12"/>
        <v>53</v>
      </c>
      <c r="AF32" s="3">
        <v>39.922669999999997</v>
      </c>
      <c r="AG32" s="3">
        <v>36.419449999999998</v>
      </c>
      <c r="AH32" s="3">
        <v>7.08338</v>
      </c>
      <c r="AI32" s="5">
        <f t="shared" si="44"/>
        <v>8.4377464599999996</v>
      </c>
      <c r="AJ32" s="3">
        <f t="shared" si="45"/>
        <v>3.3571649750000003</v>
      </c>
      <c r="AL32" t="str">
        <f t="shared" si="13"/>
        <v/>
      </c>
      <c r="AM32" t="str">
        <f t="shared" si="14"/>
        <v/>
      </c>
      <c r="AN32" t="str">
        <f t="shared" si="15"/>
        <v/>
      </c>
      <c r="AP32" t="str">
        <f t="shared" si="16"/>
        <v/>
      </c>
      <c r="AQ32" t="str">
        <f t="shared" si="17"/>
        <v/>
      </c>
      <c r="AR32" t="str">
        <f t="shared" si="18"/>
        <v/>
      </c>
      <c r="AT32" t="str">
        <f t="shared" si="19"/>
        <v/>
      </c>
      <c r="AU32" t="str">
        <f t="shared" si="20"/>
        <v/>
      </c>
      <c r="AV32" t="str">
        <f t="shared" si="21"/>
        <v/>
      </c>
      <c r="AX32">
        <f t="shared" si="22"/>
        <v>-1.0773300000000035</v>
      </c>
      <c r="AY32">
        <f t="shared" si="23"/>
        <v>2.4194499999999977</v>
      </c>
      <c r="AZ32">
        <f t="shared" si="24"/>
        <v>8.338000000000001E-2</v>
      </c>
      <c r="BC32" s="1">
        <f t="shared" si="25"/>
        <v>41713</v>
      </c>
      <c r="BD32">
        <f t="shared" si="26"/>
        <v>417.80999999999995</v>
      </c>
      <c r="BE32">
        <f t="shared" si="27"/>
        <v>41.298102</v>
      </c>
      <c r="BF32">
        <f t="shared" si="28"/>
        <v>33.412413000000001</v>
      </c>
      <c r="BG32">
        <f t="shared" si="29"/>
        <v>7.2179549999999999</v>
      </c>
      <c r="BH32">
        <f t="shared" si="33"/>
        <v>3.6459000000000001</v>
      </c>
      <c r="BJ32" s="1">
        <f t="shared" si="46"/>
        <v>41713</v>
      </c>
      <c r="BK32">
        <f t="shared" si="47"/>
        <v>417.80999999999995</v>
      </c>
      <c r="BL32">
        <f t="shared" si="43"/>
        <v>9.1634399999999996</v>
      </c>
      <c r="BO32" s="3">
        <v>40.184089999999998</v>
      </c>
      <c r="BP32" s="3">
        <v>36.109279999999998</v>
      </c>
      <c r="BQ32" s="3">
        <v>7.49146</v>
      </c>
      <c r="BR32" s="3">
        <v>3.2245400000000002</v>
      </c>
      <c r="BS32" s="3">
        <v>8.0761400000000005</v>
      </c>
      <c r="BU32">
        <f t="shared" si="30"/>
        <v>22.285607309409855</v>
      </c>
      <c r="BV32">
        <f t="shared" si="31"/>
        <v>25.32037579883449</v>
      </c>
      <c r="BX32">
        <f t="shared" si="34"/>
        <v>45.467256468094746</v>
      </c>
      <c r="BY32">
        <f t="shared" si="35"/>
        <v>42.111887805239235</v>
      </c>
      <c r="CA32" s="1">
        <f t="shared" si="36"/>
        <v>41713</v>
      </c>
      <c r="CB32">
        <f t="shared" si="37"/>
        <v>51.915620831132713</v>
      </c>
      <c r="CC32">
        <f t="shared" si="38"/>
        <v>48.084379168867294</v>
      </c>
    </row>
    <row r="33" spans="1:81" ht="15.75" thickBot="1" x14ac:dyDescent="0.3">
      <c r="A33" s="1">
        <v>41720</v>
      </c>
      <c r="B33" s="1" t="s">
        <v>7</v>
      </c>
      <c r="C33">
        <v>800</v>
      </c>
      <c r="D33">
        <f t="shared" si="39"/>
        <v>1.1299999999999999</v>
      </c>
      <c r="E33">
        <v>43</v>
      </c>
      <c r="F33">
        <v>34</v>
      </c>
      <c r="G33">
        <v>8</v>
      </c>
      <c r="I33">
        <v>5</v>
      </c>
      <c r="J33">
        <v>55</v>
      </c>
      <c r="K33">
        <f t="shared" si="0"/>
        <v>0.52173913043478259</v>
      </c>
      <c r="M33" s="1" t="str">
        <f t="shared" si="1"/>
        <v/>
      </c>
      <c r="N33" t="str">
        <f t="shared" si="2"/>
        <v/>
      </c>
      <c r="O33" t="str">
        <f t="shared" si="3"/>
        <v/>
      </c>
      <c r="Q33">
        <f>Q32+((($A33-$A32)/(M34-M32))*(Q34-Q32))</f>
        <v>0.52036166666666661</v>
      </c>
      <c r="S33" s="2">
        <f t="shared" si="4"/>
        <v>41720</v>
      </c>
      <c r="T33">
        <f t="shared" si="5"/>
        <v>903.99999999999989</v>
      </c>
      <c r="U33">
        <f t="shared" si="6"/>
        <v>0.33333333333333331</v>
      </c>
      <c r="V33" s="3">
        <v>0.19742999999999999</v>
      </c>
      <c r="W33" s="5">
        <f t="shared" si="48"/>
        <v>0.19742999999999999</v>
      </c>
      <c r="X33" s="3"/>
      <c r="Y33" s="1">
        <f t="shared" si="7"/>
        <v>41720</v>
      </c>
      <c r="Z33">
        <f t="shared" si="8"/>
        <v>903.99999999999989</v>
      </c>
      <c r="AA33">
        <f t="shared" si="9"/>
        <v>43</v>
      </c>
      <c r="AB33">
        <f t="shared" si="10"/>
        <v>34</v>
      </c>
      <c r="AC33">
        <f t="shared" si="11"/>
        <v>8</v>
      </c>
      <c r="AD33">
        <f t="shared" si="12"/>
        <v>55</v>
      </c>
      <c r="AF33" s="3">
        <v>39.728400000000001</v>
      </c>
      <c r="AG33" s="3">
        <v>36.400030000000001</v>
      </c>
      <c r="AH33" s="3">
        <v>7.0911400000000002</v>
      </c>
      <c r="AI33" s="5">
        <f t="shared" si="44"/>
        <v>8.7318925221833297</v>
      </c>
      <c r="AJ33" s="3">
        <f t="shared" si="45"/>
        <v>3.312960294899999</v>
      </c>
      <c r="AL33" t="str">
        <f t="shared" si="13"/>
        <v/>
      </c>
      <c r="AM33" t="str">
        <f t="shared" si="14"/>
        <v/>
      </c>
      <c r="AN33" t="str">
        <f t="shared" si="15"/>
        <v/>
      </c>
      <c r="AP33" t="str">
        <f t="shared" si="16"/>
        <v/>
      </c>
      <c r="AQ33" t="str">
        <f t="shared" si="17"/>
        <v/>
      </c>
      <c r="AR33" t="str">
        <f t="shared" si="18"/>
        <v/>
      </c>
      <c r="AT33">
        <f t="shared" si="19"/>
        <v>-3.2715999999999994</v>
      </c>
      <c r="AU33">
        <f t="shared" si="20"/>
        <v>2.400030000000001</v>
      </c>
      <c r="AV33">
        <f t="shared" si="21"/>
        <v>-0.90885999999999978</v>
      </c>
      <c r="AX33" t="str">
        <f t="shared" si="22"/>
        <v/>
      </c>
      <c r="AY33" t="str">
        <f t="shared" si="23"/>
        <v/>
      </c>
      <c r="AZ33" t="str">
        <f t="shared" si="24"/>
        <v/>
      </c>
      <c r="BC33" s="1">
        <f t="shared" si="25"/>
        <v>41720</v>
      </c>
      <c r="BD33">
        <f t="shared" si="26"/>
        <v>903.99999999999989</v>
      </c>
      <c r="BE33">
        <f t="shared" si="27"/>
        <v>42.707368181818183</v>
      </c>
      <c r="BF33">
        <f t="shared" si="28"/>
        <v>33.614707272727273</v>
      </c>
      <c r="BG33">
        <f t="shared" si="29"/>
        <v>7.5910736363636362</v>
      </c>
      <c r="BH33">
        <f t="shared" si="33"/>
        <v>2.9614500000000001</v>
      </c>
      <c r="BJ33" s="1">
        <f t="shared" si="46"/>
        <v>41720</v>
      </c>
      <c r="BK33">
        <f t="shared" si="47"/>
        <v>903.99999999999989</v>
      </c>
      <c r="BL33">
        <f t="shared" si="43"/>
        <v>7.8054249999999996</v>
      </c>
      <c r="BO33" s="3">
        <v>39.954279999999997</v>
      </c>
      <c r="BP33" s="3">
        <v>36.082619999999999</v>
      </c>
      <c r="BQ33" s="3">
        <v>7.4901299999999997</v>
      </c>
      <c r="BR33" s="3">
        <v>3.2180800000000001</v>
      </c>
      <c r="BS33" s="3">
        <v>8.2673900000000007</v>
      </c>
      <c r="BU33">
        <f t="shared" si="30"/>
        <v>22.307177277468945</v>
      </c>
      <c r="BV33">
        <f t="shared" si="31"/>
        <v>25.229064998725356</v>
      </c>
      <c r="BX33">
        <f t="shared" si="34"/>
        <v>45.299771198177154</v>
      </c>
      <c r="BY33">
        <f t="shared" si="35"/>
        <v>42.12828607470955</v>
      </c>
      <c r="CA33" s="1">
        <f t="shared" si="36"/>
        <v>41720</v>
      </c>
      <c r="CB33">
        <f t="shared" si="37"/>
        <v>51.813768498577375</v>
      </c>
      <c r="CC33">
        <f t="shared" si="38"/>
        <v>48.186231501422625</v>
      </c>
    </row>
    <row r="34" spans="1:81" ht="15.75" thickBot="1" x14ac:dyDescent="0.3">
      <c r="A34" s="1">
        <v>41731</v>
      </c>
      <c r="B34" t="s">
        <v>6</v>
      </c>
      <c r="C34">
        <v>2907</v>
      </c>
      <c r="D34">
        <f t="shared" si="39"/>
        <v>0.41</v>
      </c>
      <c r="E34">
        <v>40.799999999999997</v>
      </c>
      <c r="F34">
        <v>36.6</v>
      </c>
      <c r="G34">
        <v>7.6</v>
      </c>
      <c r="H34">
        <v>8.4</v>
      </c>
      <c r="I34">
        <v>3.4</v>
      </c>
      <c r="J34">
        <f>E34+((100-(E34+F34))*K34)</f>
        <v>52.111073999999995</v>
      </c>
      <c r="K34" s="7">
        <v>0.50048999999999999</v>
      </c>
      <c r="M34" s="1">
        <f t="shared" si="1"/>
        <v>41731</v>
      </c>
      <c r="N34">
        <f t="shared" si="2"/>
        <v>1191.8699999999999</v>
      </c>
      <c r="O34">
        <f t="shared" si="3"/>
        <v>0.56000000000000005</v>
      </c>
      <c r="P34" s="3">
        <v>0.53808999999999996</v>
      </c>
      <c r="Q34" s="5">
        <f>P34</f>
        <v>0.53808999999999996</v>
      </c>
      <c r="R34" s="3"/>
      <c r="S34" s="2">
        <f t="shared" si="4"/>
        <v>41731</v>
      </c>
      <c r="T34">
        <f t="shared" si="5"/>
        <v>1191.8699999999999</v>
      </c>
      <c r="U34">
        <f t="shared" si="6"/>
        <v>0.22666666666666666</v>
      </c>
      <c r="V34" s="3">
        <v>0.18937000000000001</v>
      </c>
      <c r="W34" s="5">
        <f t="shared" si="48"/>
        <v>0.18937000000000001</v>
      </c>
      <c r="X34" s="3"/>
      <c r="Y34" s="1">
        <f t="shared" si="7"/>
        <v>41731</v>
      </c>
      <c r="Z34">
        <f t="shared" si="8"/>
        <v>1191.8699999999999</v>
      </c>
      <c r="AA34">
        <f t="shared" si="9"/>
        <v>40.799999999999997</v>
      </c>
      <c r="AB34">
        <f t="shared" si="10"/>
        <v>36.6</v>
      </c>
      <c r="AC34">
        <f t="shared" si="11"/>
        <v>7.6</v>
      </c>
      <c r="AD34">
        <f t="shared" si="12"/>
        <v>52.111073999999995</v>
      </c>
      <c r="AF34" s="3">
        <v>39.479640000000003</v>
      </c>
      <c r="AG34" s="3">
        <v>36.175539999999998</v>
      </c>
      <c r="AH34" s="3">
        <v>7.1033499999999998</v>
      </c>
      <c r="AI34" s="5">
        <f t="shared" si="44"/>
        <v>9.2774625922999956</v>
      </c>
      <c r="AJ34" s="3">
        <f t="shared" si="45"/>
        <v>3.2650171738999987</v>
      </c>
      <c r="AL34" t="str">
        <f t="shared" si="13"/>
        <v/>
      </c>
      <c r="AM34" t="str">
        <f t="shared" si="14"/>
        <v/>
      </c>
      <c r="AN34" t="str">
        <f t="shared" si="15"/>
        <v/>
      </c>
      <c r="AP34">
        <f t="shared" si="16"/>
        <v>-1.3203599999999938</v>
      </c>
      <c r="AQ34">
        <f t="shared" si="17"/>
        <v>-0.42446000000000339</v>
      </c>
      <c r="AR34">
        <f t="shared" si="18"/>
        <v>-0.49664999999999981</v>
      </c>
      <c r="AT34" t="str">
        <f t="shared" si="19"/>
        <v/>
      </c>
      <c r="AU34" t="str">
        <f t="shared" si="20"/>
        <v/>
      </c>
      <c r="AV34" t="str">
        <f t="shared" si="21"/>
        <v/>
      </c>
      <c r="AX34" t="str">
        <f t="shared" si="22"/>
        <v/>
      </c>
      <c r="AY34" t="str">
        <f t="shared" si="23"/>
        <v/>
      </c>
      <c r="AZ34" t="str">
        <f t="shared" si="24"/>
        <v/>
      </c>
      <c r="BC34" s="1">
        <f t="shared" si="25"/>
        <v>41731</v>
      </c>
      <c r="BD34">
        <f t="shared" si="26"/>
        <v>1191.8699999999999</v>
      </c>
      <c r="BE34">
        <f t="shared" si="27"/>
        <v>40.591269090909087</v>
      </c>
      <c r="BF34">
        <f t="shared" si="28"/>
        <v>36.402054545454547</v>
      </c>
      <c r="BG34">
        <f t="shared" si="29"/>
        <v>8.0452863636363627</v>
      </c>
      <c r="BH34">
        <f t="shared" si="33"/>
        <v>2.8405500000000004</v>
      </c>
      <c r="BJ34" s="1">
        <f t="shared" si="46"/>
        <v>41731</v>
      </c>
      <c r="BK34">
        <f t="shared" si="47"/>
        <v>1191.8699999999999</v>
      </c>
      <c r="BL34">
        <f t="shared" si="43"/>
        <v>8.0713499999999989</v>
      </c>
      <c r="BO34" s="3">
        <v>39.557830000000003</v>
      </c>
      <c r="BP34" s="3">
        <v>35.918669999999999</v>
      </c>
      <c r="BQ34" s="3">
        <v>7.4880500000000003</v>
      </c>
      <c r="BR34" s="3">
        <v>3.2079200000000001</v>
      </c>
      <c r="BS34" s="3">
        <v>9.1522699999999997</v>
      </c>
      <c r="BU34">
        <f t="shared" si="30"/>
        <v>22.363813077658708</v>
      </c>
      <c r="BV34">
        <f t="shared" si="31"/>
        <v>25.010711547684309</v>
      </c>
      <c r="BX34">
        <f t="shared" si="34"/>
        <v>45.042219700099636</v>
      </c>
      <c r="BY34">
        <f t="shared" si="35"/>
        <v>42.052171846396362</v>
      </c>
      <c r="CA34" s="1">
        <f t="shared" si="36"/>
        <v>41731</v>
      </c>
      <c r="CB34">
        <f t="shared" si="37"/>
        <v>51.716555911701278</v>
      </c>
      <c r="CC34">
        <f t="shared" si="38"/>
        <v>48.283444088298722</v>
      </c>
    </row>
    <row r="35" spans="1:81" ht="15.75" thickBot="1" x14ac:dyDescent="0.3">
      <c r="A35" s="1">
        <v>41744</v>
      </c>
      <c r="B35" t="s">
        <v>9</v>
      </c>
      <c r="C35">
        <v>938</v>
      </c>
      <c r="D35">
        <f t="shared" si="39"/>
        <v>0.56999999999999995</v>
      </c>
      <c r="E35">
        <v>36</v>
      </c>
      <c r="F35">
        <v>40</v>
      </c>
      <c r="G35">
        <v>7</v>
      </c>
      <c r="H35">
        <v>8</v>
      </c>
      <c r="I35">
        <v>3</v>
      </c>
      <c r="J35">
        <v>48</v>
      </c>
      <c r="K35">
        <f t="shared" si="0"/>
        <v>0.5</v>
      </c>
      <c r="M35" s="1">
        <f t="shared" ref="M35:M39" si="49">IF(H35&lt;&gt;"",A35,"")</f>
        <v>41744</v>
      </c>
      <c r="N35">
        <f t="shared" ref="N35:N39" si="50">IF(H35&lt;&gt;"",C35*D35,"")</f>
        <v>534.66</v>
      </c>
      <c r="O35">
        <f t="shared" ref="O35:O39" si="51">IF(H35&lt;&gt;"",H35/(100-SUM(E35:G35)),"")</f>
        <v>0.47058823529411764</v>
      </c>
      <c r="P35" s="3">
        <v>0.55905000000000005</v>
      </c>
      <c r="Q35" s="5">
        <f>P35</f>
        <v>0.55905000000000005</v>
      </c>
      <c r="R35" s="3"/>
      <c r="S35" s="2">
        <f t="shared" ref="S35:S39" si="52">IF(I35&lt;&gt;"",A35,"")</f>
        <v>41744</v>
      </c>
      <c r="T35">
        <f t="shared" ref="T35:T39" si="53">IF(I35&lt;&gt;"",C35*D35,"")</f>
        <v>534.66</v>
      </c>
      <c r="U35">
        <f t="shared" ref="U35:U39" si="54">IF(I35&lt;&gt;"",I35/(100-SUM(E35:G35)),"")</f>
        <v>0.17647058823529413</v>
      </c>
      <c r="V35" s="3">
        <v>0.17985000000000001</v>
      </c>
      <c r="W35" s="5">
        <f t="shared" si="48"/>
        <v>0.17985000000000001</v>
      </c>
      <c r="X35" s="3"/>
      <c r="Y35" s="1">
        <f t="shared" ref="Y35:Y39" si="55">A35</f>
        <v>41744</v>
      </c>
      <c r="Z35">
        <f t="shared" ref="Z35:Z38" si="56">C35*D35</f>
        <v>534.66</v>
      </c>
      <c r="AA35">
        <f t="shared" ref="AA35:AA38" si="57">E35</f>
        <v>36</v>
      </c>
      <c r="AB35">
        <f t="shared" ref="AB35:AB38" si="58">F35</f>
        <v>40</v>
      </c>
      <c r="AC35">
        <f t="shared" ref="AC35:AC38" si="59">G35</f>
        <v>7</v>
      </c>
      <c r="AD35">
        <f t="shared" ref="AD35:AD38" si="60">J35</f>
        <v>48</v>
      </c>
      <c r="AF35" s="3">
        <v>39.185650000000003</v>
      </c>
      <c r="AG35" s="3">
        <v>35.910229999999999</v>
      </c>
      <c r="AH35" s="3">
        <v>7.1177700000000002</v>
      </c>
      <c r="AI35" s="5">
        <f t="shared" si="44"/>
        <v>9.9434589674999998</v>
      </c>
      <c r="AJ35" s="3">
        <f t="shared" si="45"/>
        <v>3.1988750475000001</v>
      </c>
      <c r="AL35" t="str">
        <f t="shared" ref="AL35:AL52" si="61">IF($B35="Newspoll",IF(AA35="","",AF35-AA35),"")</f>
        <v/>
      </c>
      <c r="AM35" t="str">
        <f t="shared" ref="AM35:AM52" si="62">IF($B35="Newspoll",IF(AB35="","",AG35-AB35),"")</f>
        <v/>
      </c>
      <c r="AN35" t="str">
        <f t="shared" ref="AN35:AN52" si="63">IF($B35="Newspoll",IF(AC35="","",AH35-AC35),"")</f>
        <v/>
      </c>
      <c r="AP35" t="str">
        <f t="shared" ref="AP35:AP52" si="64">IF($B35="ReachTEL",IF(AA35="","",AF35-AA35),"")</f>
        <v/>
      </c>
      <c r="AQ35" t="str">
        <f t="shared" ref="AQ35:AQ52" si="65">IF($B35="ReachTEL",IF(AB35="","",AG35-AB35),"")</f>
        <v/>
      </c>
      <c r="AR35" t="str">
        <f t="shared" ref="AR35:AR52" si="66">IF($B35="ReachTEL",IF(AC35="","",AH35-AC35),"")</f>
        <v/>
      </c>
      <c r="AT35" t="str">
        <f t="shared" ref="AT35:AT52" si="67">IF($B35="Galaxy",IF(AA35="","",AF35-AA35),"")</f>
        <v/>
      </c>
      <c r="AU35" t="str">
        <f t="shared" ref="AU35:AU52" si="68">IF($B35="Galaxy",IF(AB35="","",AG35-AB35),"")</f>
        <v/>
      </c>
      <c r="AV35" t="str">
        <f t="shared" ref="AV35:AV52" si="69">IF($B35="Galaxy",IF(AC35="","",AH35-AC35),"")</f>
        <v/>
      </c>
      <c r="AX35">
        <f t="shared" ref="AX35:AX52" si="70">IF($B35="Essential",IF(AA35="","",AF35-AA35),"")</f>
        <v>3.1856500000000025</v>
      </c>
      <c r="AY35">
        <f t="shared" ref="AY35:AY52" si="71">IF($B35="Essential",IF(AB35="","",AG35-AB35),"")</f>
        <v>-4.0897700000000015</v>
      </c>
      <c r="AZ35">
        <f t="shared" ref="AZ35:AZ52" si="72">IF($B35="Essential",IF(AC35="","",AH35-AC35),"")</f>
        <v>0.11777000000000015</v>
      </c>
      <c r="BC35" s="1">
        <f t="shared" si="25"/>
        <v>41744</v>
      </c>
      <c r="BD35">
        <f t="shared" si="26"/>
        <v>534.66</v>
      </c>
      <c r="BE35">
        <f t="shared" ref="BE35:BE54" si="73">IF($B35="Newspoll",AA35+AL$58,IF($B35="ReachTEL",AA35+AP$58,IF($B35="Galaxy",AA35+AT$58,IF($B35="Essential",AA35+AX$58,"X"))))</f>
        <v>36.298102</v>
      </c>
      <c r="BF35">
        <f t="shared" ref="BF35:BF54" si="74">IF($B35="Newspoll",AB35+AM$58,IF($B35="ReachTEL",AB35+AQ$58,IF($B35="Galaxy",AB35+AU$58,IF($B35="Essential",AB35+AY$58,"X"))))</f>
        <v>39.412413000000001</v>
      </c>
      <c r="BG35">
        <f t="shared" ref="BG35:BG54" si="75">IF($B35="Newspoll",AC35+AN$58,IF($B35="ReachTEL",AC35+AR$58,IF($B35="Galaxy",AC35+AV$58,IF($B35="Essential",AC35+AZ$58,"X"))))</f>
        <v>7.2179549999999999</v>
      </c>
      <c r="BH35">
        <f t="shared" si="33"/>
        <v>3.0574500000000002</v>
      </c>
      <c r="BJ35" s="1">
        <f t="shared" si="46"/>
        <v>41744</v>
      </c>
      <c r="BK35">
        <f t="shared" si="47"/>
        <v>534.66</v>
      </c>
      <c r="BL35">
        <f t="shared" si="43"/>
        <v>9.5038499999999999</v>
      </c>
      <c r="BO35" s="3">
        <v>39.089309999999998</v>
      </c>
      <c r="BP35" s="3">
        <v>35.724910000000001</v>
      </c>
      <c r="BQ35" s="3">
        <v>7.4855900000000002</v>
      </c>
      <c r="BR35" s="3">
        <v>3.2210800000000002</v>
      </c>
      <c r="BS35" s="3">
        <v>10.198029999999999</v>
      </c>
      <c r="BU35">
        <f t="shared" ref="BU35:BU52" si="76">29.5+(($BP35/($BO35+$BP35))*-8.9)+((BQ35/(100-(BO35+BP35)))*-9.5)</f>
        <v>22.426574873778794</v>
      </c>
      <c r="BV35">
        <f t="shared" ref="BV35:BV52" si="77">4.7+(($BP35/($BO35+$BP35))*20.8)+((BQ35/(100-(BO35+BP35)))*34.1)</f>
        <v>24.767340700795373</v>
      </c>
      <c r="BX35">
        <f t="shared" si="34"/>
        <v>44.737617809245201</v>
      </c>
      <c r="BY35">
        <f t="shared" si="35"/>
        <v>41.96275794075278</v>
      </c>
      <c r="CA35" s="1">
        <f t="shared" si="36"/>
        <v>41744</v>
      </c>
      <c r="CB35">
        <f t="shared" si="37"/>
        <v>51.600258271367686</v>
      </c>
      <c r="CC35">
        <f t="shared" si="38"/>
        <v>48.399741728632307</v>
      </c>
    </row>
    <row r="36" spans="1:81" ht="15.75" thickBot="1" x14ac:dyDescent="0.3">
      <c r="A36" s="1">
        <v>41774</v>
      </c>
      <c r="B36" t="s">
        <v>9</v>
      </c>
      <c r="C36">
        <v>737</v>
      </c>
      <c r="D36">
        <f t="shared" si="39"/>
        <v>0.56999999999999995</v>
      </c>
      <c r="E36">
        <v>41</v>
      </c>
      <c r="F36">
        <v>36</v>
      </c>
      <c r="G36">
        <v>4</v>
      </c>
      <c r="H36">
        <v>12</v>
      </c>
      <c r="I36">
        <v>2</v>
      </c>
      <c r="J36">
        <v>53</v>
      </c>
      <c r="K36">
        <f t="shared" ref="K36:K42" si="78">(J36-E36)/(100-(E36+F36))</f>
        <v>0.52173913043478259</v>
      </c>
      <c r="M36" s="1">
        <f t="shared" si="49"/>
        <v>41774</v>
      </c>
      <c r="N36">
        <f t="shared" si="50"/>
        <v>420.09</v>
      </c>
      <c r="O36">
        <f t="shared" si="51"/>
        <v>0.63157894736842102</v>
      </c>
      <c r="P36" s="3">
        <v>0.60607999999999995</v>
      </c>
      <c r="Q36" s="5">
        <f>P36</f>
        <v>0.60607999999999995</v>
      </c>
      <c r="R36" s="3"/>
      <c r="S36" s="2">
        <f t="shared" si="52"/>
        <v>41774</v>
      </c>
      <c r="T36">
        <f t="shared" si="53"/>
        <v>420.09</v>
      </c>
      <c r="U36">
        <f t="shared" si="54"/>
        <v>0.10526315789473684</v>
      </c>
      <c r="V36" s="3">
        <v>0.15977</v>
      </c>
      <c r="W36" s="5">
        <f t="shared" si="48"/>
        <v>0.15977</v>
      </c>
      <c r="X36" s="3"/>
      <c r="Y36" s="1">
        <f t="shared" si="55"/>
        <v>41774</v>
      </c>
      <c r="Z36">
        <f t="shared" si="56"/>
        <v>420.09</v>
      </c>
      <c r="AA36">
        <f t="shared" si="57"/>
        <v>41</v>
      </c>
      <c r="AB36">
        <f t="shared" si="58"/>
        <v>36</v>
      </c>
      <c r="AC36">
        <f t="shared" si="59"/>
        <v>4</v>
      </c>
      <c r="AD36">
        <f t="shared" si="60"/>
        <v>53</v>
      </c>
      <c r="AF36" s="3">
        <v>38.505960000000002</v>
      </c>
      <c r="AG36" s="3">
        <v>35.487169999999999</v>
      </c>
      <c r="AH36" s="3">
        <v>7.1510499999999997</v>
      </c>
      <c r="AI36" s="5">
        <f t="shared" si="44"/>
        <v>11.428135385599996</v>
      </c>
      <c r="AJ36" s="3">
        <f t="shared" si="45"/>
        <v>3.0125943613999988</v>
      </c>
      <c r="AL36" t="str">
        <f t="shared" si="61"/>
        <v/>
      </c>
      <c r="AM36" t="str">
        <f t="shared" si="62"/>
        <v/>
      </c>
      <c r="AN36" t="str">
        <f t="shared" si="63"/>
        <v/>
      </c>
      <c r="AP36" t="str">
        <f t="shared" si="64"/>
        <v/>
      </c>
      <c r="AQ36" t="str">
        <f t="shared" si="65"/>
        <v/>
      </c>
      <c r="AR36" t="str">
        <f t="shared" si="66"/>
        <v/>
      </c>
      <c r="AT36" t="str">
        <f t="shared" si="67"/>
        <v/>
      </c>
      <c r="AU36" t="str">
        <f t="shared" si="68"/>
        <v/>
      </c>
      <c r="AV36" t="str">
        <f t="shared" si="69"/>
        <v/>
      </c>
      <c r="AX36">
        <f t="shared" si="70"/>
        <v>-2.4940399999999983</v>
      </c>
      <c r="AY36">
        <f t="shared" si="71"/>
        <v>-0.51283000000000101</v>
      </c>
      <c r="AZ36">
        <f t="shared" si="72"/>
        <v>3.1510499999999997</v>
      </c>
      <c r="BC36" s="1">
        <f t="shared" si="25"/>
        <v>41774</v>
      </c>
      <c r="BD36">
        <f t="shared" si="26"/>
        <v>420.09</v>
      </c>
      <c r="BE36">
        <f t="shared" si="73"/>
        <v>41.298102</v>
      </c>
      <c r="BF36">
        <f t="shared" si="74"/>
        <v>35.412413000000001</v>
      </c>
      <c r="BG36">
        <f t="shared" si="75"/>
        <v>4.2179549999999999</v>
      </c>
      <c r="BH36">
        <f t="shared" ref="BH36:BH53" si="79">W36*(100-SUM(E36:G36))</f>
        <v>3.0356299999999998</v>
      </c>
      <c r="BJ36" s="1">
        <f t="shared" si="46"/>
        <v>41774</v>
      </c>
      <c r="BK36">
        <f t="shared" si="47"/>
        <v>420.09</v>
      </c>
      <c r="BL36">
        <f t="shared" si="43"/>
        <v>11.515519999999999</v>
      </c>
      <c r="BO36" s="3">
        <v>38.137059999999998</v>
      </c>
      <c r="BP36" s="3">
        <v>35.301560000000002</v>
      </c>
      <c r="BQ36" s="3">
        <v>7.4798999999999998</v>
      </c>
      <c r="BR36" s="3">
        <v>3.25143</v>
      </c>
      <c r="BS36" s="3">
        <v>12.341900000000001</v>
      </c>
      <c r="BU36">
        <f t="shared" si="76"/>
        <v>22.546539576092851</v>
      </c>
      <c r="BV36">
        <f t="shared" si="77"/>
        <v>24.301287584525824</v>
      </c>
      <c r="BX36">
        <f t="shared" si="34"/>
        <v>44.125732053656407</v>
      </c>
      <c r="BY36">
        <f t="shared" si="35"/>
        <v>41.756317340218729</v>
      </c>
      <c r="CA36" s="1">
        <f t="shared" si="36"/>
        <v>41774</v>
      </c>
      <c r="CB36">
        <f t="shared" si="37"/>
        <v>51.379458647156284</v>
      </c>
      <c r="CC36">
        <f t="shared" si="38"/>
        <v>48.620541352843723</v>
      </c>
    </row>
    <row r="37" spans="1:81" ht="15.75" thickBot="1" x14ac:dyDescent="0.3">
      <c r="A37" s="4">
        <v>41783</v>
      </c>
      <c r="B37" t="s">
        <v>8</v>
      </c>
      <c r="C37">
        <v>1135</v>
      </c>
      <c r="D37">
        <f t="shared" si="39"/>
        <v>1</v>
      </c>
      <c r="E37">
        <v>32</v>
      </c>
      <c r="F37">
        <v>34</v>
      </c>
      <c r="G37">
        <v>8</v>
      </c>
      <c r="I37">
        <v>2</v>
      </c>
      <c r="J37">
        <v>49</v>
      </c>
      <c r="K37">
        <f t="shared" si="78"/>
        <v>0.5</v>
      </c>
      <c r="M37" s="1" t="str">
        <f t="shared" si="49"/>
        <v/>
      </c>
      <c r="N37" t="str">
        <f t="shared" si="50"/>
        <v/>
      </c>
      <c r="O37" t="str">
        <f t="shared" si="51"/>
        <v/>
      </c>
      <c r="Q37">
        <f>Q36+((($A37-$A36)/(M38-M36))*(Q38-Q36))</f>
        <v>0.61517857142857146</v>
      </c>
      <c r="S37" s="2">
        <f t="shared" si="52"/>
        <v>41783</v>
      </c>
      <c r="T37">
        <f t="shared" si="53"/>
        <v>1135</v>
      </c>
      <c r="U37">
        <f t="shared" si="54"/>
        <v>7.6923076923076927E-2</v>
      </c>
      <c r="V37" s="3">
        <v>0.15373999999999999</v>
      </c>
      <c r="W37" s="5">
        <f t="shared" si="48"/>
        <v>0.15373999999999999</v>
      </c>
      <c r="X37" s="3"/>
      <c r="Y37" s="1">
        <f t="shared" si="55"/>
        <v>41783</v>
      </c>
      <c r="Z37">
        <f t="shared" si="56"/>
        <v>1135</v>
      </c>
      <c r="AA37">
        <f t="shared" si="57"/>
        <v>32</v>
      </c>
      <c r="AB37">
        <f t="shared" si="58"/>
        <v>34</v>
      </c>
      <c r="AC37">
        <f t="shared" si="59"/>
        <v>8</v>
      </c>
      <c r="AD37">
        <f t="shared" si="60"/>
        <v>49</v>
      </c>
      <c r="AF37" s="3">
        <v>38.383760000000002</v>
      </c>
      <c r="AG37" s="3">
        <v>35.273130000000002</v>
      </c>
      <c r="AH37" s="3">
        <v>7.17577</v>
      </c>
      <c r="AI37" s="5">
        <f t="shared" si="44"/>
        <v>11.791336839285712</v>
      </c>
      <c r="AJ37" s="3">
        <f t="shared" si="45"/>
        <v>2.9467868515999993</v>
      </c>
      <c r="AL37">
        <f t="shared" si="61"/>
        <v>6.3837600000000023</v>
      </c>
      <c r="AM37">
        <f t="shared" si="62"/>
        <v>1.2731300000000019</v>
      </c>
      <c r="AN37">
        <f t="shared" si="63"/>
        <v>-0.82423000000000002</v>
      </c>
      <c r="AP37" t="str">
        <f t="shared" si="64"/>
        <v/>
      </c>
      <c r="AQ37" t="str">
        <f t="shared" si="65"/>
        <v/>
      </c>
      <c r="AR37" t="str">
        <f t="shared" si="66"/>
        <v/>
      </c>
      <c r="AT37" t="str">
        <f t="shared" si="67"/>
        <v/>
      </c>
      <c r="AU37" t="str">
        <f t="shared" si="68"/>
        <v/>
      </c>
      <c r="AV37" t="str">
        <f t="shared" si="69"/>
        <v/>
      </c>
      <c r="AX37" t="str">
        <f t="shared" si="70"/>
        <v/>
      </c>
      <c r="AY37" t="str">
        <f t="shared" si="71"/>
        <v/>
      </c>
      <c r="AZ37" t="str">
        <f t="shared" si="72"/>
        <v/>
      </c>
      <c r="BC37" s="1">
        <f t="shared" si="25"/>
        <v>41783</v>
      </c>
      <c r="BD37">
        <f t="shared" si="26"/>
        <v>1135</v>
      </c>
      <c r="BE37">
        <f t="shared" si="73"/>
        <v>32.828401818181817</v>
      </c>
      <c r="BF37">
        <f t="shared" si="74"/>
        <v>35.370295454545456</v>
      </c>
      <c r="BG37">
        <f t="shared" si="75"/>
        <v>7.5798372727272731</v>
      </c>
      <c r="BH37">
        <f t="shared" si="79"/>
        <v>3.9972399999999997</v>
      </c>
      <c r="BJ37" s="1">
        <f t="shared" si="46"/>
        <v>41783</v>
      </c>
      <c r="BK37">
        <f t="shared" si="47"/>
        <v>1135</v>
      </c>
      <c r="BL37">
        <f t="shared" si="43"/>
        <v>15.994642857142859</v>
      </c>
      <c r="BO37" s="3">
        <v>38.013509999999997</v>
      </c>
      <c r="BP37" s="3">
        <v>35.189639999999997</v>
      </c>
      <c r="BQ37" s="3">
        <v>7.4786900000000003</v>
      </c>
      <c r="BR37" s="3">
        <v>3.25224</v>
      </c>
      <c r="BS37" s="3">
        <v>12.985060000000001</v>
      </c>
      <c r="BU37">
        <f t="shared" si="76"/>
        <v>22.570322502516309</v>
      </c>
      <c r="BV37">
        <f t="shared" si="77"/>
        <v>24.215726141246201</v>
      </c>
      <c r="BX37">
        <f t="shared" si="34"/>
        <v>44.061645465515539</v>
      </c>
      <c r="BY37">
        <f t="shared" si="35"/>
        <v>41.67869181048053</v>
      </c>
      <c r="CA37" s="1">
        <f t="shared" si="36"/>
        <v>41783</v>
      </c>
      <c r="CB37">
        <f t="shared" si="37"/>
        <v>51.389633940536264</v>
      </c>
      <c r="CC37">
        <f t="shared" si="38"/>
        <v>48.610366059463736</v>
      </c>
    </row>
    <row r="38" spans="1:81" ht="15.75" thickBot="1" x14ac:dyDescent="0.3">
      <c r="A38" s="1">
        <v>41795</v>
      </c>
      <c r="B38" t="s">
        <v>6</v>
      </c>
      <c r="C38">
        <v>1820</v>
      </c>
      <c r="D38">
        <f t="shared" si="39"/>
        <v>0.41</v>
      </c>
      <c r="E38">
        <v>40.9</v>
      </c>
      <c r="F38">
        <v>34.1</v>
      </c>
      <c r="G38">
        <v>5.2</v>
      </c>
      <c r="H38">
        <v>13.6</v>
      </c>
      <c r="J38">
        <v>53</v>
      </c>
      <c r="K38">
        <f t="shared" si="78"/>
        <v>0.48400000000000004</v>
      </c>
      <c r="M38" s="1">
        <f t="shared" si="49"/>
        <v>41795</v>
      </c>
      <c r="N38">
        <f t="shared" si="50"/>
        <v>746.19999999999993</v>
      </c>
      <c r="O38">
        <f t="shared" si="51"/>
        <v>0.68686868686868696</v>
      </c>
      <c r="P38" s="3">
        <v>0.62731000000000003</v>
      </c>
      <c r="Q38" s="5">
        <f>P38</f>
        <v>0.62731000000000003</v>
      </c>
      <c r="R38" s="3"/>
      <c r="S38" s="2" t="str">
        <f t="shared" si="52"/>
        <v/>
      </c>
      <c r="T38" t="str">
        <f t="shared" si="53"/>
        <v/>
      </c>
      <c r="U38" t="str">
        <f t="shared" si="54"/>
        <v/>
      </c>
      <c r="W38">
        <f>W37+((($A38-$A37)/(S40-S37))*(W40-W37))</f>
        <v>0.1496703448275862</v>
      </c>
      <c r="Y38" s="1">
        <f t="shared" si="55"/>
        <v>41795</v>
      </c>
      <c r="Z38">
        <f t="shared" si="56"/>
        <v>746.19999999999993</v>
      </c>
      <c r="AA38">
        <f t="shared" si="57"/>
        <v>40.9</v>
      </c>
      <c r="AB38">
        <f t="shared" si="58"/>
        <v>34.1</v>
      </c>
      <c r="AC38">
        <f t="shared" si="59"/>
        <v>5.2</v>
      </c>
      <c r="AD38">
        <f t="shared" si="60"/>
        <v>53</v>
      </c>
      <c r="AF38" s="3">
        <v>38.220820000000003</v>
      </c>
      <c r="AG38" s="3">
        <v>34.987740000000002</v>
      </c>
      <c r="AH38" s="3">
        <v>7.2087300000000001</v>
      </c>
      <c r="AI38" s="5">
        <f t="shared" si="44"/>
        <v>12.284429810099995</v>
      </c>
      <c r="AJ38" s="3">
        <f t="shared" si="45"/>
        <v>2.9309509583586193</v>
      </c>
      <c r="AL38" t="str">
        <f t="shared" si="61"/>
        <v/>
      </c>
      <c r="AM38" t="str">
        <f t="shared" si="62"/>
        <v/>
      </c>
      <c r="AN38" t="str">
        <f t="shared" si="63"/>
        <v/>
      </c>
      <c r="AP38">
        <f t="shared" si="64"/>
        <v>-2.6791799999999952</v>
      </c>
      <c r="AQ38">
        <f t="shared" si="65"/>
        <v>0.88774000000000086</v>
      </c>
      <c r="AR38">
        <f t="shared" si="66"/>
        <v>2.0087299999999999</v>
      </c>
      <c r="AT38" t="str">
        <f t="shared" si="67"/>
        <v/>
      </c>
      <c r="AU38" t="str">
        <f t="shared" si="68"/>
        <v/>
      </c>
      <c r="AV38" t="str">
        <f t="shared" si="69"/>
        <v/>
      </c>
      <c r="AX38" t="str">
        <f t="shared" si="70"/>
        <v/>
      </c>
      <c r="AY38" t="str">
        <f t="shared" si="71"/>
        <v/>
      </c>
      <c r="AZ38" t="str">
        <f t="shared" si="72"/>
        <v/>
      </c>
      <c r="BC38" s="1">
        <f t="shared" si="25"/>
        <v>41795</v>
      </c>
      <c r="BD38">
        <f t="shared" si="26"/>
        <v>746.19999999999993</v>
      </c>
      <c r="BE38">
        <f t="shared" si="73"/>
        <v>40.691269090909088</v>
      </c>
      <c r="BF38">
        <f t="shared" si="74"/>
        <v>33.902054545454547</v>
      </c>
      <c r="BG38">
        <f t="shared" si="75"/>
        <v>5.6452863636363642</v>
      </c>
      <c r="BH38">
        <f t="shared" si="79"/>
        <v>2.9634728275862066</v>
      </c>
      <c r="BJ38" s="1">
        <f t="shared" si="46"/>
        <v>41795</v>
      </c>
      <c r="BK38">
        <f t="shared" si="47"/>
        <v>746.19999999999993</v>
      </c>
      <c r="BL38">
        <f t="shared" si="43"/>
        <v>12.420737999999998</v>
      </c>
      <c r="BO38" s="3">
        <v>37.848779999999998</v>
      </c>
      <c r="BP38" s="3">
        <v>35.040410000000001</v>
      </c>
      <c r="BQ38" s="3">
        <v>7.4770799999999999</v>
      </c>
      <c r="BR38" s="3">
        <v>3.1643599999999998</v>
      </c>
      <c r="BS38" s="3">
        <v>13.04956</v>
      </c>
      <c r="BU38">
        <f t="shared" si="76"/>
        <v>22.601383940439764</v>
      </c>
      <c r="BV38">
        <f t="shared" si="77"/>
        <v>24.103972821657095</v>
      </c>
      <c r="BX38">
        <f t="shared" si="34"/>
        <v>43.976198257463139</v>
      </c>
      <c r="BY38">
        <f t="shared" si="35"/>
        <v>41.575192274131098</v>
      </c>
      <c r="CA38" s="1">
        <f t="shared" si="36"/>
        <v>41795</v>
      </c>
      <c r="CB38">
        <f t="shared" si="37"/>
        <v>51.403253628265311</v>
      </c>
      <c r="CC38">
        <f t="shared" si="38"/>
        <v>48.596746371734689</v>
      </c>
    </row>
    <row r="39" spans="1:81" ht="15.75" thickBot="1" x14ac:dyDescent="0.3">
      <c r="A39" s="4">
        <v>41823</v>
      </c>
      <c r="B39" t="s">
        <v>6</v>
      </c>
      <c r="C39">
        <v>1868</v>
      </c>
      <c r="D39">
        <f t="shared" si="39"/>
        <v>0.41</v>
      </c>
      <c r="E39">
        <v>38.700000000000003</v>
      </c>
      <c r="F39">
        <v>34.4</v>
      </c>
      <c r="G39">
        <v>6.1</v>
      </c>
      <c r="H39">
        <v>15.4</v>
      </c>
      <c r="J39">
        <v>51</v>
      </c>
      <c r="K39">
        <f t="shared" si="78"/>
        <v>0.45724907063197007</v>
      </c>
      <c r="M39" s="1">
        <f t="shared" si="49"/>
        <v>41823</v>
      </c>
      <c r="N39">
        <f t="shared" si="50"/>
        <v>765.88</v>
      </c>
      <c r="O39">
        <f t="shared" si="51"/>
        <v>0.74038461538461497</v>
      </c>
      <c r="P39" s="3">
        <v>0.65561000000000003</v>
      </c>
      <c r="Q39" s="5">
        <f>P39</f>
        <v>0.65561000000000003</v>
      </c>
      <c r="R39" s="3"/>
      <c r="S39" s="2" t="str">
        <f t="shared" si="52"/>
        <v/>
      </c>
      <c r="T39" t="str">
        <f t="shared" si="53"/>
        <v/>
      </c>
      <c r="U39" t="str">
        <f t="shared" si="54"/>
        <v/>
      </c>
      <c r="W39">
        <f>W37+((($A39-$A37)/(S40-S37))*(W40-W37))</f>
        <v>0.14017448275862068</v>
      </c>
      <c r="Y39" s="1">
        <f t="shared" si="55"/>
        <v>41823</v>
      </c>
      <c r="Z39">
        <f t="shared" ref="Z39:Z44" si="80">C39*D39</f>
        <v>765.88</v>
      </c>
      <c r="AA39">
        <f t="shared" ref="AA39:AA44" si="81">E39</f>
        <v>38.700000000000003</v>
      </c>
      <c r="AB39">
        <f t="shared" ref="AB39:AB44" si="82">F39</f>
        <v>34.4</v>
      </c>
      <c r="AC39">
        <f t="shared" ref="AC39:AC44" si="83">G39</f>
        <v>6.1</v>
      </c>
      <c r="AD39">
        <f t="shared" ref="AD39:AD44" si="84">J39</f>
        <v>51</v>
      </c>
      <c r="AF39" s="3">
        <v>38.729199999999999</v>
      </c>
      <c r="AG39" s="3">
        <v>34.702840000000002</v>
      </c>
      <c r="AH39" s="3">
        <v>7.2856300000000003</v>
      </c>
      <c r="AI39" s="5">
        <f t="shared" si="44"/>
        <v>12.641688371300001</v>
      </c>
      <c r="AJ39" s="3">
        <f t="shared" si="45"/>
        <v>2.7028906341310348</v>
      </c>
      <c r="AL39" t="str">
        <f t="shared" si="61"/>
        <v/>
      </c>
      <c r="AM39" t="str">
        <f t="shared" si="62"/>
        <v/>
      </c>
      <c r="AN39" t="str">
        <f t="shared" si="63"/>
        <v/>
      </c>
      <c r="AP39">
        <f t="shared" si="64"/>
        <v>2.9199999999995896E-2</v>
      </c>
      <c r="AQ39">
        <f t="shared" si="65"/>
        <v>0.30284000000000333</v>
      </c>
      <c r="AR39">
        <f t="shared" si="66"/>
        <v>1.1856300000000006</v>
      </c>
      <c r="AT39" t="str">
        <f t="shared" si="67"/>
        <v/>
      </c>
      <c r="AU39" t="str">
        <f t="shared" si="68"/>
        <v/>
      </c>
      <c r="AV39" t="str">
        <f t="shared" si="69"/>
        <v/>
      </c>
      <c r="AX39" t="str">
        <f t="shared" si="70"/>
        <v/>
      </c>
      <c r="AY39" t="str">
        <f t="shared" si="71"/>
        <v/>
      </c>
      <c r="AZ39" t="str">
        <f t="shared" si="72"/>
        <v/>
      </c>
      <c r="BC39" s="1">
        <f t="shared" si="25"/>
        <v>41823</v>
      </c>
      <c r="BD39">
        <f t="shared" si="26"/>
        <v>765.88</v>
      </c>
      <c r="BE39">
        <f t="shared" si="73"/>
        <v>38.491269090909093</v>
      </c>
      <c r="BF39">
        <f t="shared" si="74"/>
        <v>34.202054545454544</v>
      </c>
      <c r="BG39">
        <f t="shared" si="75"/>
        <v>6.5452863636363636</v>
      </c>
      <c r="BH39">
        <f t="shared" si="79"/>
        <v>2.9156292413793117</v>
      </c>
      <c r="BJ39" s="1">
        <f t="shared" si="46"/>
        <v>41823</v>
      </c>
      <c r="BK39">
        <f t="shared" si="47"/>
        <v>765.88</v>
      </c>
      <c r="BL39">
        <f t="shared" si="43"/>
        <v>13.636688000000008</v>
      </c>
      <c r="BO39" s="3">
        <v>38.456769999999999</v>
      </c>
      <c r="BP39" s="3">
        <v>34.785760000000003</v>
      </c>
      <c r="BQ39" s="3">
        <v>7.4733099999999997</v>
      </c>
      <c r="BR39" s="3">
        <v>2.9592999999999998</v>
      </c>
      <c r="BS39" s="3">
        <v>13.20004</v>
      </c>
      <c r="BU39">
        <f t="shared" si="76"/>
        <v>22.619707974060031</v>
      </c>
      <c r="BV39">
        <f t="shared" si="77"/>
        <v>24.10280312853692</v>
      </c>
      <c r="BX39">
        <f t="shared" si="34"/>
        <v>44.509231575246716</v>
      </c>
      <c r="BY39">
        <f t="shared" si="35"/>
        <v>41.235060316277327</v>
      </c>
      <c r="CA39" s="1">
        <f t="shared" si="36"/>
        <v>41823</v>
      </c>
      <c r="CB39">
        <f t="shared" si="37"/>
        <v>51.909264854103398</v>
      </c>
      <c r="CC39">
        <f t="shared" si="38"/>
        <v>48.090735145896609</v>
      </c>
    </row>
    <row r="40" spans="1:81" ht="15.75" thickBot="1" x14ac:dyDescent="0.3">
      <c r="A40" s="1">
        <v>41841</v>
      </c>
      <c r="B40" t="s">
        <v>6</v>
      </c>
      <c r="C40">
        <v>1177</v>
      </c>
      <c r="D40">
        <f t="shared" si="39"/>
        <v>0.41</v>
      </c>
      <c r="E40">
        <v>37.4</v>
      </c>
      <c r="F40">
        <v>34.6</v>
      </c>
      <c r="G40">
        <v>6.1</v>
      </c>
      <c r="H40">
        <v>13.4</v>
      </c>
      <c r="I40">
        <v>3.4</v>
      </c>
      <c r="J40">
        <f>E40+((100-(E40+F40))*K40)</f>
        <v>51.201479999999997</v>
      </c>
      <c r="K40" s="7">
        <v>0.49291000000000001</v>
      </c>
      <c r="M40" s="1">
        <f t="shared" ref="M40" si="85">IF(H40&lt;&gt;"",A40,"")</f>
        <v>41841</v>
      </c>
      <c r="N40">
        <f t="shared" ref="N40" si="86">IF(H40&lt;&gt;"",C40*D40,"")</f>
        <v>482.57</v>
      </c>
      <c r="O40">
        <f t="shared" ref="O40:O42" si="87">IF(H40&lt;&gt;"",H40/(100-SUM(E40:G40)),"")</f>
        <v>0.61187214611872132</v>
      </c>
      <c r="P40" s="3">
        <v>0.65047999999999995</v>
      </c>
      <c r="Q40" s="5">
        <f>P40</f>
        <v>0.65047999999999995</v>
      </c>
      <c r="R40" s="3"/>
      <c r="S40" s="2">
        <f t="shared" ref="S40" si="88">IF(I40&lt;&gt;"",A40,"")</f>
        <v>41841</v>
      </c>
      <c r="T40">
        <f t="shared" ref="T40:T41" si="89">IF(I40&lt;&gt;"",C40*D40,"")</f>
        <v>482.57</v>
      </c>
      <c r="U40">
        <f t="shared" ref="U40" si="90">IF(I40&lt;&gt;"",I40/(100-SUM(E40:G40)),"")</f>
        <v>0.15525114155251138</v>
      </c>
      <c r="V40" s="3">
        <v>0.13406999999999999</v>
      </c>
      <c r="W40" s="5">
        <f>V40</f>
        <v>0.13406999999999999</v>
      </c>
      <c r="X40" s="3"/>
      <c r="Y40" s="1">
        <f t="shared" ref="Y40:Y44" si="91">A40</f>
        <v>41841</v>
      </c>
      <c r="Z40">
        <f t="shared" si="80"/>
        <v>482.57</v>
      </c>
      <c r="AA40">
        <f t="shared" si="81"/>
        <v>37.4</v>
      </c>
      <c r="AB40">
        <f t="shared" si="82"/>
        <v>34.6</v>
      </c>
      <c r="AC40">
        <f t="shared" si="83"/>
        <v>6.1</v>
      </c>
      <c r="AD40">
        <f t="shared" si="84"/>
        <v>51.201479999999997</v>
      </c>
      <c r="AF40" s="3">
        <v>39.056019999999997</v>
      </c>
      <c r="AG40" s="3">
        <v>34.519689999999997</v>
      </c>
      <c r="AH40" s="3">
        <v>7.33507</v>
      </c>
      <c r="AI40" s="5">
        <f t="shared" si="44"/>
        <v>12.417155825600007</v>
      </c>
      <c r="AJ40" s="3">
        <f t="shared" si="45"/>
        <v>2.5592917254000014</v>
      </c>
      <c r="AL40" t="str">
        <f t="shared" si="61"/>
        <v/>
      </c>
      <c r="AM40" t="str">
        <f t="shared" si="62"/>
        <v/>
      </c>
      <c r="AN40" t="str">
        <f t="shared" si="63"/>
        <v/>
      </c>
      <c r="AP40">
        <f t="shared" si="64"/>
        <v>1.656019999999998</v>
      </c>
      <c r="AQ40">
        <f t="shared" si="65"/>
        <v>-8.0310000000004322E-2</v>
      </c>
      <c r="AR40">
        <f t="shared" si="66"/>
        <v>1.2350700000000003</v>
      </c>
      <c r="AT40" t="str">
        <f t="shared" si="67"/>
        <v/>
      </c>
      <c r="AU40" t="str">
        <f t="shared" si="68"/>
        <v/>
      </c>
      <c r="AV40" t="str">
        <f t="shared" si="69"/>
        <v/>
      </c>
      <c r="AX40" t="str">
        <f t="shared" si="70"/>
        <v/>
      </c>
      <c r="AY40" t="str">
        <f t="shared" si="71"/>
        <v/>
      </c>
      <c r="AZ40" t="str">
        <f t="shared" si="72"/>
        <v/>
      </c>
      <c r="BC40" s="1">
        <f t="shared" si="25"/>
        <v>41841</v>
      </c>
      <c r="BD40">
        <f t="shared" si="26"/>
        <v>482.57</v>
      </c>
      <c r="BE40">
        <f t="shared" si="73"/>
        <v>37.191269090909088</v>
      </c>
      <c r="BF40">
        <f t="shared" si="74"/>
        <v>34.402054545454547</v>
      </c>
      <c r="BG40">
        <f t="shared" si="75"/>
        <v>6.5452863636363636</v>
      </c>
      <c r="BH40">
        <f t="shared" si="79"/>
        <v>2.9361330000000008</v>
      </c>
      <c r="BJ40" s="1">
        <f t="shared" si="46"/>
        <v>41841</v>
      </c>
      <c r="BK40">
        <f t="shared" si="47"/>
        <v>482.57</v>
      </c>
      <c r="BL40">
        <f t="shared" si="43"/>
        <v>14.245512000000003</v>
      </c>
      <c r="BO40" s="3">
        <v>38.847619999999999</v>
      </c>
      <c r="BP40" s="3">
        <v>34.622050000000002</v>
      </c>
      <c r="BQ40" s="3">
        <v>7.4708899999999998</v>
      </c>
      <c r="BR40" s="3">
        <v>2.7122199999999999</v>
      </c>
      <c r="BS40" s="3">
        <v>12.52496</v>
      </c>
      <c r="BU40">
        <f t="shared" si="76"/>
        <v>22.630757680462626</v>
      </c>
      <c r="BV40">
        <f t="shared" si="77"/>
        <v>24.104343930159843</v>
      </c>
      <c r="BX40">
        <f t="shared" si="34"/>
        <v>44.851634694127078</v>
      </c>
      <c r="BY40">
        <f t="shared" si="35"/>
        <v>41.017011989006377</v>
      </c>
      <c r="CA40" s="1">
        <f t="shared" si="36"/>
        <v>41841</v>
      </c>
      <c r="CB40">
        <f t="shared" si="37"/>
        <v>52.232842168382462</v>
      </c>
      <c r="CC40">
        <f t="shared" si="38"/>
        <v>47.767157831617546</v>
      </c>
    </row>
    <row r="41" spans="1:81" ht="15.75" thickBot="1" x14ac:dyDescent="0.3">
      <c r="A41" s="1">
        <v>41858</v>
      </c>
      <c r="B41" t="s">
        <v>6</v>
      </c>
      <c r="C41">
        <v>1900</v>
      </c>
      <c r="D41">
        <f t="shared" si="39"/>
        <v>0.41</v>
      </c>
      <c r="E41">
        <v>41</v>
      </c>
      <c r="F41">
        <v>34.4</v>
      </c>
      <c r="G41">
        <v>5.5</v>
      </c>
      <c r="H41">
        <v>12.6</v>
      </c>
      <c r="J41">
        <v>52</v>
      </c>
      <c r="K41">
        <f t="shared" si="78"/>
        <v>0.44715447154471555</v>
      </c>
      <c r="M41" s="1">
        <f t="shared" ref="M41:M42" si="92">IF(H41&lt;&gt;"",A41,"")</f>
        <v>41858</v>
      </c>
      <c r="N41">
        <f t="shared" ref="N41:N42" si="93">IF(H41&lt;&gt;"",C41*D41,"")</f>
        <v>779</v>
      </c>
      <c r="O41">
        <f t="shared" si="87"/>
        <v>0.65968586387434569</v>
      </c>
      <c r="P41" s="3">
        <v>0.63026000000000004</v>
      </c>
      <c r="Q41" s="5">
        <f>P41</f>
        <v>0.63026000000000004</v>
      </c>
      <c r="R41" s="3"/>
      <c r="T41" t="str">
        <f t="shared" si="89"/>
        <v/>
      </c>
      <c r="W41">
        <f>W40+((($A41-$A40)/(S42-S40))*(W42-W40))</f>
        <v>0.12830359999999999</v>
      </c>
      <c r="Y41" s="1">
        <f t="shared" si="91"/>
        <v>41858</v>
      </c>
      <c r="Z41">
        <f t="shared" si="80"/>
        <v>779</v>
      </c>
      <c r="AA41">
        <f t="shared" si="81"/>
        <v>41</v>
      </c>
      <c r="AB41">
        <f t="shared" si="82"/>
        <v>34.4</v>
      </c>
      <c r="AC41">
        <f t="shared" si="83"/>
        <v>5.5</v>
      </c>
      <c r="AD41">
        <f t="shared" si="84"/>
        <v>52</v>
      </c>
      <c r="AF41" s="3">
        <v>39.450380000000003</v>
      </c>
      <c r="AG41" s="3">
        <v>34.712139999999998</v>
      </c>
      <c r="AH41" s="3">
        <v>7.3817599999999999</v>
      </c>
      <c r="AI41" s="5">
        <f t="shared" si="44"/>
        <v>11.6319020872</v>
      </c>
      <c r="AJ41" s="3">
        <f t="shared" si="45"/>
        <v>2.3679353165919999</v>
      </c>
      <c r="AL41" t="str">
        <f t="shared" si="61"/>
        <v/>
      </c>
      <c r="AM41" t="str">
        <f t="shared" si="62"/>
        <v/>
      </c>
      <c r="AN41" t="str">
        <f t="shared" si="63"/>
        <v/>
      </c>
      <c r="AP41">
        <f t="shared" si="64"/>
        <v>-1.5496199999999973</v>
      </c>
      <c r="AQ41">
        <f t="shared" si="65"/>
        <v>0.31213999999999942</v>
      </c>
      <c r="AR41">
        <f t="shared" si="66"/>
        <v>1.8817599999999999</v>
      </c>
      <c r="AT41" t="str">
        <f t="shared" si="67"/>
        <v/>
      </c>
      <c r="AU41" t="str">
        <f t="shared" si="68"/>
        <v/>
      </c>
      <c r="AV41" t="str">
        <f t="shared" si="69"/>
        <v/>
      </c>
      <c r="AX41" t="str">
        <f t="shared" si="70"/>
        <v/>
      </c>
      <c r="AY41" t="str">
        <f t="shared" si="71"/>
        <v/>
      </c>
      <c r="AZ41" t="str">
        <f t="shared" si="72"/>
        <v/>
      </c>
      <c r="BC41" s="1">
        <f t="shared" si="25"/>
        <v>41858</v>
      </c>
      <c r="BD41">
        <f t="shared" si="26"/>
        <v>779</v>
      </c>
      <c r="BE41">
        <f t="shared" si="73"/>
        <v>40.79126909090909</v>
      </c>
      <c r="BF41">
        <f t="shared" si="74"/>
        <v>34.202054545454544</v>
      </c>
      <c r="BG41">
        <f t="shared" si="75"/>
        <v>5.945286363636364</v>
      </c>
      <c r="BH41">
        <f t="shared" si="79"/>
        <v>2.4505987599999992</v>
      </c>
      <c r="BJ41" s="1">
        <f t="shared" si="46"/>
        <v>41858</v>
      </c>
      <c r="BK41">
        <f t="shared" si="47"/>
        <v>779</v>
      </c>
      <c r="BL41">
        <f t="shared" si="43"/>
        <v>12.037965999999997</v>
      </c>
      <c r="BO41" s="3">
        <v>39.370150000000002</v>
      </c>
      <c r="BP41" s="3">
        <v>34.699599999999997</v>
      </c>
      <c r="BQ41" s="3">
        <v>7.46861</v>
      </c>
      <c r="BR41" s="3">
        <v>2.4886200000000001</v>
      </c>
      <c r="BS41" s="3">
        <v>11.88739</v>
      </c>
      <c r="BU41">
        <f t="shared" si="76"/>
        <v>22.594343946764148</v>
      </c>
      <c r="BV41">
        <f t="shared" si="77"/>
        <v>24.265934414971348</v>
      </c>
      <c r="BX41">
        <f t="shared" si="34"/>
        <v>45.228919871255812</v>
      </c>
      <c r="BY41">
        <f t="shared" si="35"/>
        <v>40.991817458638103</v>
      </c>
      <c r="CA41" s="1">
        <f t="shared" si="36"/>
        <v>41858</v>
      </c>
      <c r="CB41">
        <f t="shared" si="37"/>
        <v>52.457124900478348</v>
      </c>
      <c r="CC41">
        <f t="shared" si="38"/>
        <v>47.542875099521645</v>
      </c>
    </row>
    <row r="42" spans="1:81" ht="15.75" thickBot="1" x14ac:dyDescent="0.3">
      <c r="A42" s="1">
        <v>41866</v>
      </c>
      <c r="B42" t="s">
        <v>7</v>
      </c>
      <c r="C42">
        <v>800</v>
      </c>
      <c r="D42">
        <f t="shared" si="39"/>
        <v>1.1299999999999999</v>
      </c>
      <c r="E42">
        <v>39</v>
      </c>
      <c r="F42">
        <v>36</v>
      </c>
      <c r="G42">
        <v>7</v>
      </c>
      <c r="H42">
        <v>12</v>
      </c>
      <c r="I42">
        <v>3</v>
      </c>
      <c r="J42">
        <v>52</v>
      </c>
      <c r="K42">
        <f t="shared" si="78"/>
        <v>0.52</v>
      </c>
      <c r="M42" s="1">
        <f t="shared" si="92"/>
        <v>41866</v>
      </c>
      <c r="N42">
        <f t="shared" si="93"/>
        <v>903.99999999999989</v>
      </c>
      <c r="O42">
        <f t="shared" si="87"/>
        <v>0.66666666666666663</v>
      </c>
      <c r="P42" s="3">
        <v>0.62075000000000002</v>
      </c>
      <c r="Q42" s="5">
        <f>P42</f>
        <v>0.62075000000000002</v>
      </c>
      <c r="R42" s="3"/>
      <c r="S42" s="2">
        <f t="shared" ref="S42:S43" si="94">IF(I42&lt;&gt;"",A42,"")</f>
        <v>41866</v>
      </c>
      <c r="T42">
        <f t="shared" ref="T42:T43" si="95">IF(I42&lt;&gt;"",C42*D42,"")</f>
        <v>903.99999999999989</v>
      </c>
      <c r="U42">
        <f t="shared" ref="U42:U43" si="96">IF(I42&lt;&gt;"",I42/(100-SUM(E42:G42)),"")</f>
        <v>0.16666666666666666</v>
      </c>
      <c r="V42" s="3">
        <v>0.12559000000000001</v>
      </c>
      <c r="W42" s="5">
        <f>V42</f>
        <v>0.12559000000000001</v>
      </c>
      <c r="X42" s="3"/>
      <c r="Y42" s="1">
        <f t="shared" si="91"/>
        <v>41866</v>
      </c>
      <c r="Z42">
        <f t="shared" si="80"/>
        <v>903.99999999999989</v>
      </c>
      <c r="AA42">
        <f t="shared" si="81"/>
        <v>39</v>
      </c>
      <c r="AB42">
        <f t="shared" si="82"/>
        <v>36</v>
      </c>
      <c r="AC42">
        <f t="shared" si="83"/>
        <v>7</v>
      </c>
      <c r="AD42">
        <f t="shared" si="84"/>
        <v>52</v>
      </c>
      <c r="AF42" s="3">
        <v>39.635959999999997</v>
      </c>
      <c r="AG42" s="3">
        <v>34.802700000000002</v>
      </c>
      <c r="AH42" s="3">
        <v>7.40374</v>
      </c>
      <c r="AI42" s="5">
        <f t="shared" si="44"/>
        <v>11.271330200000001</v>
      </c>
      <c r="AJ42" s="3">
        <f t="shared" si="45"/>
        <v>2.2804129840000003</v>
      </c>
      <c r="AL42" t="str">
        <f t="shared" si="61"/>
        <v/>
      </c>
      <c r="AM42" t="str">
        <f t="shared" si="62"/>
        <v/>
      </c>
      <c r="AN42" t="str">
        <f t="shared" si="63"/>
        <v/>
      </c>
      <c r="AP42" t="str">
        <f t="shared" si="64"/>
        <v/>
      </c>
      <c r="AQ42" t="str">
        <f t="shared" si="65"/>
        <v/>
      </c>
      <c r="AR42" t="str">
        <f t="shared" si="66"/>
        <v/>
      </c>
      <c r="AT42">
        <f t="shared" si="67"/>
        <v>0.63595999999999719</v>
      </c>
      <c r="AU42">
        <f t="shared" si="68"/>
        <v>-1.1972999999999985</v>
      </c>
      <c r="AV42">
        <f t="shared" si="69"/>
        <v>0.40373999999999999</v>
      </c>
      <c r="AX42" t="str">
        <f t="shared" si="70"/>
        <v/>
      </c>
      <c r="AY42" t="str">
        <f t="shared" si="71"/>
        <v/>
      </c>
      <c r="AZ42" t="str">
        <f t="shared" si="72"/>
        <v/>
      </c>
      <c r="BC42" s="1">
        <f t="shared" si="25"/>
        <v>41866</v>
      </c>
      <c r="BD42">
        <f t="shared" si="26"/>
        <v>903.99999999999989</v>
      </c>
      <c r="BE42">
        <f t="shared" si="73"/>
        <v>38.707368181818183</v>
      </c>
      <c r="BF42">
        <f t="shared" si="74"/>
        <v>35.614707272727273</v>
      </c>
      <c r="BG42">
        <f t="shared" si="75"/>
        <v>6.5910736363636362</v>
      </c>
      <c r="BH42">
        <f t="shared" si="79"/>
        <v>2.2606200000000003</v>
      </c>
      <c r="BJ42" s="1">
        <f t="shared" si="46"/>
        <v>41866</v>
      </c>
      <c r="BK42">
        <f t="shared" si="47"/>
        <v>903.99999999999989</v>
      </c>
      <c r="BL42">
        <f t="shared" si="43"/>
        <v>11.173500000000001</v>
      </c>
      <c r="BO42" s="3">
        <v>39.616050000000001</v>
      </c>
      <c r="BP42" s="3">
        <v>34.736089999999997</v>
      </c>
      <c r="BQ42" s="3">
        <v>7.46753</v>
      </c>
      <c r="BR42" s="3">
        <v>2.3834</v>
      </c>
      <c r="BS42" s="3">
        <v>11.414960000000001</v>
      </c>
      <c r="BU42">
        <f t="shared" si="76"/>
        <v>22.576084588832995</v>
      </c>
      <c r="BV42">
        <f t="shared" si="77"/>
        <v>24.345837786843319</v>
      </c>
      <c r="BX42">
        <f t="shared" si="34"/>
        <v>45.406332568825462</v>
      </c>
      <c r="BY42">
        <f t="shared" si="35"/>
        <v>40.980276391396671</v>
      </c>
      <c r="CA42" s="1">
        <f t="shared" si="36"/>
        <v>41866</v>
      </c>
      <c r="CB42">
        <f t="shared" si="37"/>
        <v>52.561772148891052</v>
      </c>
      <c r="CC42">
        <f t="shared" si="38"/>
        <v>47.438227851108941</v>
      </c>
    </row>
    <row r="43" spans="1:81" ht="15.75" thickBot="1" x14ac:dyDescent="0.3">
      <c r="A43" s="1">
        <v>41867</v>
      </c>
      <c r="B43" t="s">
        <v>8</v>
      </c>
      <c r="C43">
        <v>1132</v>
      </c>
      <c r="D43">
        <f t="shared" si="39"/>
        <v>1</v>
      </c>
      <c r="E43">
        <v>39</v>
      </c>
      <c r="F43">
        <v>32</v>
      </c>
      <c r="G43">
        <v>10</v>
      </c>
      <c r="I43">
        <v>1</v>
      </c>
      <c r="J43">
        <v>54</v>
      </c>
      <c r="M43" s="1"/>
      <c r="Q43">
        <f>Q42+((($A43-$A42)/(M44-M42))*(Q44-Q42))</f>
        <v>0.61894100000000007</v>
      </c>
      <c r="S43" s="2">
        <f t="shared" si="94"/>
        <v>41867</v>
      </c>
      <c r="T43">
        <f t="shared" si="95"/>
        <v>1132</v>
      </c>
      <c r="U43">
        <f t="shared" si="96"/>
        <v>5.2631578947368418E-2</v>
      </c>
      <c r="V43" s="3">
        <v>0.12525</v>
      </c>
      <c r="W43" s="5">
        <f>V43</f>
        <v>0.12525</v>
      </c>
      <c r="X43" s="3"/>
      <c r="Y43" s="1">
        <f t="shared" si="91"/>
        <v>41867</v>
      </c>
      <c r="Z43">
        <f t="shared" si="80"/>
        <v>1132</v>
      </c>
      <c r="AA43">
        <f t="shared" si="81"/>
        <v>39</v>
      </c>
      <c r="AB43">
        <f t="shared" si="82"/>
        <v>32</v>
      </c>
      <c r="AC43">
        <f t="shared" si="83"/>
        <v>10</v>
      </c>
      <c r="AD43">
        <f t="shared" si="84"/>
        <v>54</v>
      </c>
      <c r="AF43" s="3">
        <v>39.65945</v>
      </c>
      <c r="AG43" s="3">
        <v>34.827959999999997</v>
      </c>
      <c r="AH43" s="3">
        <v>7.4064800000000002</v>
      </c>
      <c r="AI43" s="5">
        <f t="shared" si="44"/>
        <v>11.206613829510003</v>
      </c>
      <c r="AJ43" s="3">
        <f t="shared" si="45"/>
        <v>2.2677902775000001</v>
      </c>
      <c r="AL43">
        <f t="shared" si="61"/>
        <v>0.65944999999999965</v>
      </c>
      <c r="AM43">
        <f t="shared" si="62"/>
        <v>2.8279599999999974</v>
      </c>
      <c r="AN43">
        <f t="shared" si="63"/>
        <v>-2.5935199999999998</v>
      </c>
      <c r="AP43" t="str">
        <f t="shared" si="64"/>
        <v/>
      </c>
      <c r="AQ43" t="str">
        <f t="shared" si="65"/>
        <v/>
      </c>
      <c r="AR43" t="str">
        <f t="shared" si="66"/>
        <v/>
      </c>
      <c r="AT43" t="str">
        <f t="shared" si="67"/>
        <v/>
      </c>
      <c r="AU43" t="str">
        <f t="shared" si="68"/>
        <v/>
      </c>
      <c r="AV43" t="str">
        <f t="shared" si="69"/>
        <v/>
      </c>
      <c r="AX43" t="str">
        <f t="shared" si="70"/>
        <v/>
      </c>
      <c r="AY43" t="str">
        <f t="shared" si="71"/>
        <v/>
      </c>
      <c r="AZ43" t="str">
        <f t="shared" si="72"/>
        <v/>
      </c>
      <c r="BC43" s="1">
        <f t="shared" ref="BC43:BC54" si="97">A43</f>
        <v>41867</v>
      </c>
      <c r="BD43">
        <f t="shared" ref="BD43:BD54" si="98">C43*D43</f>
        <v>1132</v>
      </c>
      <c r="BE43">
        <f t="shared" si="73"/>
        <v>39.828401818181817</v>
      </c>
      <c r="BF43">
        <f t="shared" si="74"/>
        <v>33.370295454545456</v>
      </c>
      <c r="BG43">
        <f t="shared" si="75"/>
        <v>9.5798372727272731</v>
      </c>
      <c r="BH43">
        <f t="shared" si="79"/>
        <v>2.37975</v>
      </c>
      <c r="BJ43" s="1">
        <f t="shared" si="46"/>
        <v>41867</v>
      </c>
      <c r="BK43">
        <f t="shared" si="47"/>
        <v>1132</v>
      </c>
      <c r="BL43">
        <f t="shared" ref="BL43:BL52" si="99">Q43*(100-SUM(E43:G43))</f>
        <v>11.759879000000002</v>
      </c>
      <c r="BO43" s="3">
        <v>39.643079999999998</v>
      </c>
      <c r="BP43" s="3">
        <v>34.750959999999999</v>
      </c>
      <c r="BQ43" s="3">
        <v>7.4673999999999996</v>
      </c>
      <c r="BR43" s="3">
        <v>2.3722699999999999</v>
      </c>
      <c r="BS43" s="3">
        <v>11.353260000000001</v>
      </c>
      <c r="BU43">
        <f t="shared" si="76"/>
        <v>22.572169610735465</v>
      </c>
      <c r="BV43">
        <f t="shared" si="77"/>
        <v>24.360595436836917</v>
      </c>
      <c r="BX43">
        <f t="shared" si="34"/>
        <v>45.422900721657079</v>
      </c>
      <c r="BY43">
        <f t="shared" si="35"/>
        <v>40.988724323318287</v>
      </c>
      <c r="CA43" s="1">
        <f t="shared" si="36"/>
        <v>41867</v>
      </c>
      <c r="CB43">
        <f t="shared" si="37"/>
        <v>52.565729087973345</v>
      </c>
      <c r="CC43">
        <f t="shared" si="38"/>
        <v>47.434270912026648</v>
      </c>
    </row>
    <row r="44" spans="1:81" ht="15.75" thickBot="1" x14ac:dyDescent="0.3">
      <c r="A44" s="1">
        <v>41886</v>
      </c>
      <c r="B44" t="s">
        <v>6</v>
      </c>
      <c r="C44">
        <v>1692</v>
      </c>
      <c r="D44">
        <f t="shared" si="39"/>
        <v>0.41</v>
      </c>
      <c r="E44">
        <v>41.2</v>
      </c>
      <c r="F44">
        <v>36</v>
      </c>
      <c r="G44">
        <v>6</v>
      </c>
      <c r="H44">
        <v>9.5</v>
      </c>
      <c r="J44">
        <v>51</v>
      </c>
      <c r="M44" s="1">
        <f t="shared" ref="M44" si="100">IF(H44&lt;&gt;"",A44,"")</f>
        <v>41886</v>
      </c>
      <c r="N44">
        <f t="shared" ref="N44" si="101">IF(H44&lt;&gt;"",C44*D44,"")</f>
        <v>693.71999999999991</v>
      </c>
      <c r="O44">
        <f t="shared" ref="O44" si="102">IF(H44&lt;&gt;"",H44/(100-SUM(E44:G44)),"")</f>
        <v>0.56547619047619058</v>
      </c>
      <c r="P44" s="3">
        <v>0.58457000000000003</v>
      </c>
      <c r="Q44" s="5">
        <f>P44</f>
        <v>0.58457000000000003</v>
      </c>
      <c r="R44" s="3"/>
      <c r="S44" s="2"/>
      <c r="W44">
        <f>W43+((($A44-$A43)/(S46-S43))*(W46-W43))</f>
        <v>0.12539197802197802</v>
      </c>
      <c r="Y44" s="1">
        <f t="shared" si="91"/>
        <v>41886</v>
      </c>
      <c r="Z44">
        <f t="shared" si="80"/>
        <v>693.71999999999991</v>
      </c>
      <c r="AA44">
        <f t="shared" si="81"/>
        <v>41.2</v>
      </c>
      <c r="AB44">
        <f t="shared" si="82"/>
        <v>36</v>
      </c>
      <c r="AC44">
        <f t="shared" si="83"/>
        <v>6</v>
      </c>
      <c r="AD44">
        <f t="shared" si="84"/>
        <v>51</v>
      </c>
      <c r="AF44" s="3">
        <v>39.497500000000002</v>
      </c>
      <c r="AG44" s="3">
        <v>35.278269999999999</v>
      </c>
      <c r="AH44" s="3">
        <v>7.4625899999999996</v>
      </c>
      <c r="AI44" s="5">
        <f t="shared" si="44"/>
        <v>10.382921894800001</v>
      </c>
      <c r="AJ44" s="3">
        <f t="shared" si="45"/>
        <v>2.2271671725142856</v>
      </c>
      <c r="AL44" t="str">
        <f t="shared" si="61"/>
        <v/>
      </c>
      <c r="AM44" t="str">
        <f t="shared" si="62"/>
        <v/>
      </c>
      <c r="AN44" t="str">
        <f t="shared" si="63"/>
        <v/>
      </c>
      <c r="AP44">
        <f t="shared" si="64"/>
        <v>-1.7025000000000006</v>
      </c>
      <c r="AQ44">
        <f t="shared" si="65"/>
        <v>-0.72173000000000087</v>
      </c>
      <c r="AR44">
        <f t="shared" si="66"/>
        <v>1.4625899999999996</v>
      </c>
      <c r="AT44" t="str">
        <f t="shared" si="67"/>
        <v/>
      </c>
      <c r="AU44" t="str">
        <f t="shared" si="68"/>
        <v/>
      </c>
      <c r="AV44" t="str">
        <f t="shared" si="69"/>
        <v/>
      </c>
      <c r="AX44" t="str">
        <f t="shared" si="70"/>
        <v/>
      </c>
      <c r="AY44" t="str">
        <f t="shared" si="71"/>
        <v/>
      </c>
      <c r="AZ44" t="str">
        <f t="shared" si="72"/>
        <v/>
      </c>
      <c r="BC44" s="1">
        <f t="shared" si="97"/>
        <v>41886</v>
      </c>
      <c r="BD44">
        <f t="shared" si="98"/>
        <v>693.71999999999991</v>
      </c>
      <c r="BE44">
        <f t="shared" si="73"/>
        <v>40.991269090909093</v>
      </c>
      <c r="BF44">
        <f t="shared" si="74"/>
        <v>35.802054545454546</v>
      </c>
      <c r="BG44">
        <f t="shared" si="75"/>
        <v>6.445286363636364</v>
      </c>
      <c r="BH44">
        <f t="shared" si="79"/>
        <v>2.1065852307692303</v>
      </c>
      <c r="BJ44" s="1">
        <f t="shared" si="46"/>
        <v>41886</v>
      </c>
      <c r="BK44">
        <f t="shared" si="47"/>
        <v>693.71999999999991</v>
      </c>
      <c r="BL44">
        <f t="shared" si="99"/>
        <v>9.8207759999999986</v>
      </c>
      <c r="BO44" s="3">
        <v>39.423560000000002</v>
      </c>
      <c r="BP44" s="3">
        <v>35.268799999999999</v>
      </c>
      <c r="BQ44" s="3">
        <v>7.4690899999999996</v>
      </c>
      <c r="BR44" s="3">
        <v>2.28267</v>
      </c>
      <c r="BS44" s="3">
        <v>10.18089</v>
      </c>
      <c r="BU44">
        <f t="shared" si="76"/>
        <v>22.49377875442465</v>
      </c>
      <c r="BV44">
        <f t="shared" si="77"/>
        <v>24.585495611504861</v>
      </c>
      <c r="BX44">
        <f t="shared" si="34"/>
        <v>45.116204549566277</v>
      </c>
      <c r="BY44">
        <f t="shared" si="35"/>
        <v>41.490808721575448</v>
      </c>
      <c r="CA44" s="1">
        <f t="shared" si="36"/>
        <v>41886</v>
      </c>
      <c r="CB44">
        <f t="shared" si="37"/>
        <v>52.093015156082544</v>
      </c>
      <c r="CC44">
        <f t="shared" si="38"/>
        <v>47.906984843917463</v>
      </c>
    </row>
    <row r="45" spans="1:81" ht="15.75" thickBot="1" x14ac:dyDescent="0.3">
      <c r="A45" s="1">
        <v>41921</v>
      </c>
      <c r="B45" t="s">
        <v>6</v>
      </c>
      <c r="C45">
        <v>1471</v>
      </c>
      <c r="D45">
        <f t="shared" si="39"/>
        <v>0.41</v>
      </c>
      <c r="E45">
        <v>40.9</v>
      </c>
      <c r="F45">
        <v>36.6</v>
      </c>
      <c r="G45">
        <v>7.6</v>
      </c>
      <c r="H45">
        <v>7.2</v>
      </c>
      <c r="J45">
        <v>51</v>
      </c>
      <c r="M45" s="1">
        <f t="shared" ref="M45" si="103">IF(H45&lt;&gt;"",A45,"")</f>
        <v>41921</v>
      </c>
      <c r="N45">
        <f t="shared" ref="N45" si="104">IF(H45&lt;&gt;"",C45*D45,"")</f>
        <v>603.11</v>
      </c>
      <c r="O45">
        <f t="shared" ref="O45" si="105">IF(H45&lt;&gt;"",H45/(100-SUM(E45:G45)),"")</f>
        <v>0.48322147651006692</v>
      </c>
      <c r="P45" s="3">
        <v>0.51078000000000001</v>
      </c>
      <c r="Q45" s="5">
        <f>P45</f>
        <v>0.51078000000000001</v>
      </c>
      <c r="R45" s="3"/>
      <c r="S45" s="2"/>
      <c r="W45">
        <f>W43+((($A45-$A43)/(S46-S43))*(W46-W43))</f>
        <v>0.12565351648351647</v>
      </c>
      <c r="Y45" s="1">
        <f t="shared" ref="Y45:Y54" si="106">A45</f>
        <v>41921</v>
      </c>
      <c r="Z45">
        <f t="shared" ref="Z45:Z54" si="107">C45*D45</f>
        <v>603.11</v>
      </c>
      <c r="AA45">
        <f t="shared" ref="AA45:AA54" si="108">E45</f>
        <v>40.9</v>
      </c>
      <c r="AB45">
        <f t="shared" ref="AB45:AB54" si="109">F45</f>
        <v>36.6</v>
      </c>
      <c r="AC45">
        <f t="shared" ref="AC45:AC54" si="110">G45</f>
        <v>7.6</v>
      </c>
      <c r="AD45">
        <f t="shared" ref="AD45:AD55" si="111">J45</f>
        <v>51</v>
      </c>
      <c r="AF45" s="3">
        <v>39.199179999999998</v>
      </c>
      <c r="AG45" s="3">
        <v>36.107779999999998</v>
      </c>
      <c r="AH45" s="3">
        <v>7.56595</v>
      </c>
      <c r="AI45" s="5">
        <f t="shared" si="44"/>
        <v>8.7481750301999988</v>
      </c>
      <c r="AJ45" s="3">
        <f t="shared" si="45"/>
        <v>2.1520790856296697</v>
      </c>
      <c r="AL45" t="str">
        <f t="shared" si="61"/>
        <v/>
      </c>
      <c r="AM45" t="str">
        <f t="shared" si="62"/>
        <v/>
      </c>
      <c r="AN45" t="str">
        <f t="shared" si="63"/>
        <v/>
      </c>
      <c r="AP45">
        <f t="shared" si="64"/>
        <v>-1.7008200000000002</v>
      </c>
      <c r="AQ45">
        <f t="shared" si="65"/>
        <v>-0.49222000000000321</v>
      </c>
      <c r="AR45">
        <f t="shared" si="66"/>
        <v>-3.4049999999999692E-2</v>
      </c>
      <c r="AT45" t="str">
        <f t="shared" si="67"/>
        <v/>
      </c>
      <c r="AU45" t="str">
        <f t="shared" si="68"/>
        <v/>
      </c>
      <c r="AV45" t="str">
        <f t="shared" si="69"/>
        <v/>
      </c>
      <c r="AX45" t="str">
        <f t="shared" si="70"/>
        <v/>
      </c>
      <c r="AY45" t="str">
        <f t="shared" si="71"/>
        <v/>
      </c>
      <c r="AZ45" t="str">
        <f t="shared" si="72"/>
        <v/>
      </c>
      <c r="BC45" s="1">
        <f t="shared" si="97"/>
        <v>41921</v>
      </c>
      <c r="BD45">
        <f t="shared" si="98"/>
        <v>603.11</v>
      </c>
      <c r="BE45">
        <f t="shared" si="73"/>
        <v>40.691269090909088</v>
      </c>
      <c r="BF45">
        <f t="shared" si="74"/>
        <v>36.402054545454547</v>
      </c>
      <c r="BG45">
        <f t="shared" si="75"/>
        <v>8.0452863636363627</v>
      </c>
      <c r="BH45">
        <f t="shared" si="79"/>
        <v>1.8722373956043961</v>
      </c>
      <c r="BJ45" s="1">
        <f t="shared" si="46"/>
        <v>41921</v>
      </c>
      <c r="BK45">
        <f t="shared" si="47"/>
        <v>603.11</v>
      </c>
      <c r="BL45">
        <f t="shared" si="99"/>
        <v>7.6106220000000029</v>
      </c>
      <c r="BO45" s="3">
        <v>39.019170000000003</v>
      </c>
      <c r="BP45" s="3">
        <v>36.222720000000002</v>
      </c>
      <c r="BQ45" s="3">
        <v>7.4722</v>
      </c>
      <c r="BR45" s="3">
        <v>2.1176200000000001</v>
      </c>
      <c r="BS45" s="3">
        <v>8.6020299999999992</v>
      </c>
      <c r="BU45">
        <f t="shared" si="76"/>
        <v>22.348211622265456</v>
      </c>
      <c r="BV45">
        <f t="shared" si="77"/>
        <v>25.005131002995988</v>
      </c>
      <c r="BX45">
        <f t="shared" si="34"/>
        <v>44.552164816473265</v>
      </c>
      <c r="BY45">
        <f t="shared" si="35"/>
        <v>42.413517839365852</v>
      </c>
      <c r="CA45" s="1">
        <f t="shared" si="36"/>
        <v>41921</v>
      </c>
      <c r="CB45">
        <f t="shared" si="37"/>
        <v>51.229592473603049</v>
      </c>
      <c r="CC45">
        <f t="shared" si="38"/>
        <v>48.770407526396951</v>
      </c>
    </row>
    <row r="46" spans="1:81" ht="15.75" thickBot="1" x14ac:dyDescent="0.3">
      <c r="A46" s="1">
        <v>41958</v>
      </c>
      <c r="B46" t="s">
        <v>8</v>
      </c>
      <c r="C46">
        <v>1154</v>
      </c>
      <c r="D46">
        <f t="shared" si="39"/>
        <v>1</v>
      </c>
      <c r="E46">
        <v>37</v>
      </c>
      <c r="F46">
        <v>36</v>
      </c>
      <c r="G46">
        <v>10</v>
      </c>
      <c r="I46">
        <v>1</v>
      </c>
      <c r="J46">
        <v>50</v>
      </c>
      <c r="M46" s="1"/>
      <c r="Q46">
        <f>Q45+((($A46-$A45)/(M47-M45))*(Q47-Q45))</f>
        <v>0.43277317073170729</v>
      </c>
      <c r="S46" s="2">
        <f t="shared" ref="S46" si="112">IF(I46&lt;&gt;"",A46,"")</f>
        <v>41958</v>
      </c>
      <c r="T46">
        <f t="shared" ref="T46" si="113">IF(I46&lt;&gt;"",C46*D46,"")</f>
        <v>1154</v>
      </c>
      <c r="U46">
        <f t="shared" ref="U46" si="114">IF(I46&lt;&gt;"",I46/(100-SUM(E46:G46)),"")</f>
        <v>5.8823529411764705E-2</v>
      </c>
      <c r="V46" s="3">
        <v>0.12592999999999999</v>
      </c>
      <c r="W46" s="5">
        <f>V46</f>
        <v>0.12592999999999999</v>
      </c>
      <c r="Y46" s="1">
        <f t="shared" si="106"/>
        <v>41958</v>
      </c>
      <c r="Z46">
        <f t="shared" si="107"/>
        <v>1154</v>
      </c>
      <c r="AA46">
        <f t="shared" si="108"/>
        <v>37</v>
      </c>
      <c r="AB46">
        <f t="shared" si="109"/>
        <v>36</v>
      </c>
      <c r="AC46">
        <f t="shared" si="110"/>
        <v>10</v>
      </c>
      <c r="AD46">
        <f t="shared" si="111"/>
        <v>50</v>
      </c>
      <c r="AF46" s="3">
        <v>38.663449999999997</v>
      </c>
      <c r="AG46" s="3">
        <v>36.935429999999997</v>
      </c>
      <c r="AH46" s="3">
        <v>7.6752200000000004</v>
      </c>
      <c r="AI46" s="5">
        <f t="shared" si="44"/>
        <v>7.238520776341467</v>
      </c>
      <c r="AJ46" s="3">
        <f t="shared" si="45"/>
        <v>2.1062925870000009</v>
      </c>
      <c r="AL46">
        <f t="shared" si="61"/>
        <v>1.6634499999999974</v>
      </c>
      <c r="AM46">
        <f t="shared" si="62"/>
        <v>0.93542999999999665</v>
      </c>
      <c r="AN46">
        <f t="shared" si="63"/>
        <v>-2.3247799999999996</v>
      </c>
      <c r="AP46" t="str">
        <f t="shared" si="64"/>
        <v/>
      </c>
      <c r="AQ46" t="str">
        <f t="shared" si="65"/>
        <v/>
      </c>
      <c r="AR46" t="str">
        <f t="shared" si="66"/>
        <v/>
      </c>
      <c r="AT46" t="str">
        <f t="shared" si="67"/>
        <v/>
      </c>
      <c r="AU46" t="str">
        <f t="shared" si="68"/>
        <v/>
      </c>
      <c r="AV46" t="str">
        <f t="shared" si="69"/>
        <v/>
      </c>
      <c r="AX46" t="str">
        <f t="shared" si="70"/>
        <v/>
      </c>
      <c r="AY46" t="str">
        <f t="shared" si="71"/>
        <v/>
      </c>
      <c r="AZ46" t="str">
        <f t="shared" si="72"/>
        <v/>
      </c>
      <c r="BC46" s="1">
        <f t="shared" si="97"/>
        <v>41958</v>
      </c>
      <c r="BD46">
        <f t="shared" si="98"/>
        <v>1154</v>
      </c>
      <c r="BE46">
        <f t="shared" si="73"/>
        <v>37.828401818181817</v>
      </c>
      <c r="BF46">
        <f t="shared" si="74"/>
        <v>37.370295454545456</v>
      </c>
      <c r="BG46">
        <f t="shared" si="75"/>
        <v>9.5798372727272731</v>
      </c>
      <c r="BH46">
        <f t="shared" si="79"/>
        <v>2.1408099999999997</v>
      </c>
      <c r="BJ46" s="1">
        <f t="shared" si="46"/>
        <v>41958</v>
      </c>
      <c r="BK46">
        <f t="shared" si="47"/>
        <v>1154</v>
      </c>
      <c r="BL46">
        <f t="shared" si="99"/>
        <v>7.3571439024390237</v>
      </c>
      <c r="BO46" s="3">
        <v>38.547840000000001</v>
      </c>
      <c r="BP46" s="3">
        <v>37.160690000000002</v>
      </c>
      <c r="BQ46" s="3">
        <v>7.4755000000000003</v>
      </c>
      <c r="BR46" s="3">
        <v>2.0137900000000002</v>
      </c>
      <c r="BS46" s="3">
        <v>6.9329499999999999</v>
      </c>
      <c r="BU46">
        <f t="shared" si="76"/>
        <v>22.207987151137711</v>
      </c>
      <c r="BV46">
        <f t="shared" si="77"/>
        <v>25.403443078232897</v>
      </c>
      <c r="BX46">
        <f t="shared" si="34"/>
        <v>43.942486536422471</v>
      </c>
      <c r="BY46">
        <f t="shared" si="35"/>
        <v>43.331559754316025</v>
      </c>
      <c r="CA46" s="1">
        <f t="shared" si="36"/>
        <v>41958</v>
      </c>
      <c r="CB46">
        <f t="shared" si="37"/>
        <v>50.350004845696759</v>
      </c>
      <c r="CC46">
        <f t="shared" si="38"/>
        <v>49.649995154303234</v>
      </c>
    </row>
    <row r="47" spans="1:81" ht="15.75" thickBot="1" x14ac:dyDescent="0.3">
      <c r="A47" s="1">
        <v>41962</v>
      </c>
      <c r="B47" t="s">
        <v>7</v>
      </c>
      <c r="C47">
        <v>800</v>
      </c>
      <c r="D47">
        <f t="shared" si="39"/>
        <v>1.1299999999999999</v>
      </c>
      <c r="E47">
        <v>37</v>
      </c>
      <c r="F47">
        <v>38</v>
      </c>
      <c r="G47">
        <v>9</v>
      </c>
      <c r="H47">
        <v>7</v>
      </c>
      <c r="J47">
        <v>50</v>
      </c>
      <c r="M47" s="1">
        <f t="shared" ref="M47:M51" si="115">IF(H47&lt;&gt;"",A47,"")</f>
        <v>41962</v>
      </c>
      <c r="N47">
        <f t="shared" ref="N47:N51" si="116">IF(H47&lt;&gt;"",C47*D47,"")</f>
        <v>903.99999999999989</v>
      </c>
      <c r="O47">
        <f t="shared" ref="O47:O51" si="117">IF(H47&lt;&gt;"",H47/(100-SUM(E47:G47)),"")</f>
        <v>0.4375</v>
      </c>
      <c r="P47" s="3">
        <v>0.42433999999999999</v>
      </c>
      <c r="Q47" s="5">
        <f>P47</f>
        <v>0.42433999999999999</v>
      </c>
      <c r="R47" s="3"/>
      <c r="S47" s="2"/>
      <c r="W47">
        <f>W46+((($A47-$A46)/(S49-S46))*(W49-W46))</f>
        <v>0.12595999999999999</v>
      </c>
      <c r="Y47" s="1">
        <f t="shared" si="106"/>
        <v>41962</v>
      </c>
      <c r="Z47">
        <f t="shared" si="107"/>
        <v>903.99999999999989</v>
      </c>
      <c r="AA47">
        <f t="shared" si="108"/>
        <v>37</v>
      </c>
      <c r="AB47">
        <f t="shared" si="109"/>
        <v>38</v>
      </c>
      <c r="AC47">
        <f t="shared" si="110"/>
        <v>9</v>
      </c>
      <c r="AD47">
        <f t="shared" si="111"/>
        <v>50</v>
      </c>
      <c r="AF47" s="3">
        <v>38.605530000000002</v>
      </c>
      <c r="AG47" s="3">
        <v>37.024900000000002</v>
      </c>
      <c r="AH47" s="3">
        <v>7.68703</v>
      </c>
      <c r="AI47" s="5">
        <f t="shared" si="44"/>
        <v>7.0790690235999953</v>
      </c>
      <c r="AJ47" s="3">
        <f t="shared" si="45"/>
        <v>2.1013327383999982</v>
      </c>
      <c r="AL47" t="str">
        <f t="shared" ref="AL47:AL56" si="118">IF($B47="Newspoll",IF(AA47="","",AF47-AA47),"")</f>
        <v/>
      </c>
      <c r="AM47" t="str">
        <f t="shared" ref="AM47:AM56" si="119">IF($B47="Newspoll",IF(AB47="","",AG47-AB47),"")</f>
        <v/>
      </c>
      <c r="AN47" t="str">
        <f t="shared" ref="AN47:AN56" si="120">IF($B47="Newspoll",IF(AC47="","",AH47-AC47),"")</f>
        <v/>
      </c>
      <c r="AP47" t="str">
        <f t="shared" ref="AP47:AP56" si="121">IF($B47="ReachTEL",IF(AA47="","",AF47-AA47),"")</f>
        <v/>
      </c>
      <c r="AQ47" t="str">
        <f t="shared" ref="AQ47:AQ56" si="122">IF($B47="ReachTEL",IF(AB47="","",AG47-AB47),"")</f>
        <v/>
      </c>
      <c r="AR47" t="str">
        <f t="shared" ref="AR47:AR56" si="123">IF($B47="ReachTEL",IF(AC47="","",AH47-AC47),"")</f>
        <v/>
      </c>
      <c r="AT47">
        <f t="shared" ref="AT47:AT56" si="124">IF($B47="Galaxy",IF(AA47="","",AF47-AA47),"")</f>
        <v>1.6055300000000017</v>
      </c>
      <c r="AU47">
        <f t="shared" ref="AU47:AU56" si="125">IF($B47="Galaxy",IF(AB47="","",AG47-AB47),"")</f>
        <v>-0.97509999999999764</v>
      </c>
      <c r="AV47">
        <f t="shared" ref="AV47:AV56" si="126">IF($B47="Galaxy",IF(AC47="","",AH47-AC47),"")</f>
        <v>-1.31297</v>
      </c>
      <c r="AX47" t="str">
        <f t="shared" ref="AX47:AX56" si="127">IF($B47="Essential",IF(AA47="","",AF47-AA47),"")</f>
        <v/>
      </c>
      <c r="AY47" t="str">
        <f t="shared" ref="AY47:AY56" si="128">IF($B47="Essential",IF(AB47="","",AG47-AB47),"")</f>
        <v/>
      </c>
      <c r="AZ47" t="str">
        <f t="shared" ref="AZ47:AZ56" si="129">IF($B47="Essential",IF(AC47="","",AH47-AC47),"")</f>
        <v/>
      </c>
      <c r="BC47" s="1">
        <f t="shared" si="97"/>
        <v>41962</v>
      </c>
      <c r="BD47">
        <f t="shared" si="98"/>
        <v>903.99999999999989</v>
      </c>
      <c r="BE47">
        <f t="shared" si="73"/>
        <v>36.707368181818183</v>
      </c>
      <c r="BF47">
        <f t="shared" si="74"/>
        <v>37.614707272727273</v>
      </c>
      <c r="BG47">
        <f t="shared" si="75"/>
        <v>8.5910736363636371</v>
      </c>
      <c r="BH47">
        <f t="shared" si="79"/>
        <v>2.0153599999999998</v>
      </c>
      <c r="BJ47" s="1">
        <f t="shared" si="46"/>
        <v>41962</v>
      </c>
      <c r="BK47">
        <f t="shared" si="47"/>
        <v>903.99999999999989</v>
      </c>
      <c r="BL47">
        <f t="shared" si="99"/>
        <v>6.7894399999999999</v>
      </c>
      <c r="BO47" s="3">
        <v>38.49689</v>
      </c>
      <c r="BP47" s="3">
        <v>37.262090000000001</v>
      </c>
      <c r="BQ47" s="3">
        <v>7.4758599999999999</v>
      </c>
      <c r="BR47" s="3">
        <v>2.00257</v>
      </c>
      <c r="BS47" s="3">
        <v>6.8054600000000001</v>
      </c>
      <c r="BU47">
        <f t="shared" si="76"/>
        <v>22.192758463005891</v>
      </c>
      <c r="BV47">
        <f t="shared" si="77"/>
        <v>25.44683052957798</v>
      </c>
      <c r="BX47">
        <f t="shared" si="34"/>
        <v>43.87664101756895</v>
      </c>
      <c r="BY47">
        <f t="shared" si="35"/>
        <v>43.4306612780411</v>
      </c>
      <c r="CA47" s="1">
        <f t="shared" si="36"/>
        <v>41962</v>
      </c>
      <c r="CB47">
        <f t="shared" si="37"/>
        <v>50.255408040222015</v>
      </c>
      <c r="CC47">
        <f t="shared" si="38"/>
        <v>49.744591959777992</v>
      </c>
    </row>
    <row r="48" spans="1:81" ht="15.75" thickBot="1" x14ac:dyDescent="0.3">
      <c r="A48" s="1">
        <v>41970</v>
      </c>
      <c r="B48" t="s">
        <v>6</v>
      </c>
      <c r="C48">
        <v>1480</v>
      </c>
      <c r="D48">
        <f t="shared" si="39"/>
        <v>0.41</v>
      </c>
      <c r="E48">
        <v>39.200000000000003</v>
      </c>
      <c r="F48">
        <v>37.299999999999997</v>
      </c>
      <c r="G48">
        <v>7.9</v>
      </c>
      <c r="H48">
        <v>6.5</v>
      </c>
      <c r="J48">
        <v>49</v>
      </c>
      <c r="M48" s="1">
        <f t="shared" si="115"/>
        <v>41970</v>
      </c>
      <c r="N48">
        <f t="shared" si="116"/>
        <v>606.79999999999995</v>
      </c>
      <c r="O48">
        <f t="shared" si="117"/>
        <v>0.4166666666666668</v>
      </c>
      <c r="P48" s="3">
        <v>0.41122999999999998</v>
      </c>
      <c r="Q48" s="5">
        <f>P48</f>
        <v>0.41122999999999998</v>
      </c>
      <c r="R48" s="3"/>
      <c r="S48" s="2"/>
      <c r="W48">
        <f>W46+((($A48-$A46)/(S49-S46))*(W49-W46))</f>
        <v>0.12601999999999999</v>
      </c>
      <c r="Y48" s="1">
        <f t="shared" si="106"/>
        <v>41970</v>
      </c>
      <c r="Z48">
        <f t="shared" si="107"/>
        <v>606.79999999999995</v>
      </c>
      <c r="AA48">
        <f t="shared" si="108"/>
        <v>39.200000000000003</v>
      </c>
      <c r="AB48">
        <f t="shared" si="109"/>
        <v>37.299999999999997</v>
      </c>
      <c r="AC48">
        <f t="shared" si="110"/>
        <v>7.9</v>
      </c>
      <c r="AD48">
        <f t="shared" si="111"/>
        <v>49</v>
      </c>
      <c r="AF48" s="3">
        <v>38.882339999999999</v>
      </c>
      <c r="AG48" s="3">
        <v>37.126539999999999</v>
      </c>
      <c r="AH48" s="3">
        <v>7.7106500000000002</v>
      </c>
      <c r="AI48" s="5">
        <f t="shared" si="44"/>
        <v>6.6950176780999975</v>
      </c>
      <c r="AJ48" s="3">
        <f t="shared" si="45"/>
        <v>2.0516648293999991</v>
      </c>
      <c r="AL48" t="str">
        <f t="shared" si="118"/>
        <v/>
      </c>
      <c r="AM48" t="str">
        <f t="shared" si="119"/>
        <v/>
      </c>
      <c r="AN48" t="str">
        <f t="shared" si="120"/>
        <v/>
      </c>
      <c r="AP48">
        <f t="shared" si="121"/>
        <v>-0.31766000000000361</v>
      </c>
      <c r="AQ48">
        <f t="shared" si="122"/>
        <v>-0.17345999999999862</v>
      </c>
      <c r="AR48">
        <f t="shared" si="123"/>
        <v>-0.18935000000000013</v>
      </c>
      <c r="AT48" t="str">
        <f t="shared" si="124"/>
        <v/>
      </c>
      <c r="AU48" t="str">
        <f t="shared" si="125"/>
        <v/>
      </c>
      <c r="AV48" t="str">
        <f t="shared" si="126"/>
        <v/>
      </c>
      <c r="AX48" t="str">
        <f t="shared" si="127"/>
        <v/>
      </c>
      <c r="AY48" t="str">
        <f t="shared" si="128"/>
        <v/>
      </c>
      <c r="AZ48" t="str">
        <f t="shared" si="129"/>
        <v/>
      </c>
      <c r="BC48" s="1">
        <f t="shared" si="97"/>
        <v>41970</v>
      </c>
      <c r="BD48">
        <f t="shared" si="98"/>
        <v>606.79999999999995</v>
      </c>
      <c r="BE48">
        <f t="shared" si="73"/>
        <v>38.991269090909093</v>
      </c>
      <c r="BF48">
        <f t="shared" si="74"/>
        <v>37.102054545454543</v>
      </c>
      <c r="BG48">
        <f t="shared" si="75"/>
        <v>8.3452863636363634</v>
      </c>
      <c r="BH48">
        <f t="shared" si="79"/>
        <v>1.9659119999999992</v>
      </c>
      <c r="BJ48" s="1">
        <f t="shared" si="46"/>
        <v>41970</v>
      </c>
      <c r="BK48">
        <f t="shared" si="47"/>
        <v>606.79999999999995</v>
      </c>
      <c r="BL48">
        <f t="shared" si="99"/>
        <v>6.415187999999997</v>
      </c>
      <c r="BO48" s="3">
        <v>38.827680000000001</v>
      </c>
      <c r="BP48" s="3">
        <v>37.333509999999997</v>
      </c>
      <c r="BQ48" s="3">
        <v>7.4765699999999997</v>
      </c>
      <c r="BR48" s="3">
        <v>1.96651</v>
      </c>
      <c r="BS48" s="3">
        <v>6.5504600000000002</v>
      </c>
      <c r="BU48">
        <f t="shared" si="76"/>
        <v>22.157815822087414</v>
      </c>
      <c r="BV48">
        <f t="shared" si="77"/>
        <v>25.590756118623929</v>
      </c>
      <c r="BX48">
        <f t="shared" si="34"/>
        <v>44.109839613977357</v>
      </c>
      <c r="BY48">
        <f t="shared" si="35"/>
        <v>43.434041728682132</v>
      </c>
      <c r="CA48" s="1">
        <f t="shared" si="36"/>
        <v>41970</v>
      </c>
      <c r="CB48">
        <f t="shared" si="37"/>
        <v>50.385976652468756</v>
      </c>
      <c r="CC48">
        <f t="shared" si="38"/>
        <v>49.614023347531251</v>
      </c>
    </row>
    <row r="49" spans="1:81" ht="15.75" thickBot="1" x14ac:dyDescent="0.3">
      <c r="A49" s="1">
        <v>41986</v>
      </c>
      <c r="B49" t="s">
        <v>9</v>
      </c>
      <c r="C49">
        <v>507</v>
      </c>
      <c r="D49">
        <f t="shared" si="39"/>
        <v>0.56999999999999995</v>
      </c>
      <c r="E49">
        <v>38</v>
      </c>
      <c r="F49">
        <v>37</v>
      </c>
      <c r="G49">
        <v>10</v>
      </c>
      <c r="H49">
        <v>5</v>
      </c>
      <c r="I49">
        <v>3</v>
      </c>
      <c r="J49">
        <v>49</v>
      </c>
      <c r="M49" s="1">
        <f t="shared" si="115"/>
        <v>41986</v>
      </c>
      <c r="N49">
        <f t="shared" si="116"/>
        <v>288.98999999999995</v>
      </c>
      <c r="O49">
        <f t="shared" si="117"/>
        <v>0.33333333333333331</v>
      </c>
      <c r="P49" s="3">
        <v>0.38530999999999999</v>
      </c>
      <c r="Q49" s="5">
        <f>P49</f>
        <v>0.38530999999999999</v>
      </c>
      <c r="R49" s="3"/>
      <c r="S49" s="2">
        <f t="shared" ref="S49" si="130">IF(I49&lt;&gt;"",A49,"")</f>
        <v>41986</v>
      </c>
      <c r="T49">
        <f t="shared" ref="T49" si="131">IF(I49&lt;&gt;"",C49*D49,"")</f>
        <v>288.98999999999995</v>
      </c>
      <c r="U49">
        <f t="shared" ref="U49" si="132">IF(I49&lt;&gt;"",I49/(100-SUM(E49:G49)),"")</f>
        <v>0.2</v>
      </c>
      <c r="V49" s="3">
        <v>0.12614</v>
      </c>
      <c r="W49" s="5">
        <f>V49</f>
        <v>0.12614</v>
      </c>
      <c r="Y49" s="1">
        <f t="shared" si="106"/>
        <v>41986</v>
      </c>
      <c r="Z49">
        <f t="shared" si="107"/>
        <v>288.98999999999995</v>
      </c>
      <c r="AA49">
        <f t="shared" si="108"/>
        <v>38</v>
      </c>
      <c r="AB49">
        <f t="shared" si="109"/>
        <v>37</v>
      </c>
      <c r="AC49">
        <f t="shared" si="110"/>
        <v>10</v>
      </c>
      <c r="AD49">
        <f t="shared" si="111"/>
        <v>49</v>
      </c>
      <c r="AF49" s="3">
        <v>39.435969999999998</v>
      </c>
      <c r="AG49" s="3">
        <v>37.329819999999998</v>
      </c>
      <c r="AH49" s="3">
        <v>7.7579000000000002</v>
      </c>
      <c r="AI49" s="5">
        <f t="shared" si="44"/>
        <v>5.9631770060999987</v>
      </c>
      <c r="AJ49" s="3">
        <f t="shared" si="45"/>
        <v>1.9521817433999997</v>
      </c>
      <c r="AL49" t="str">
        <f t="shared" si="118"/>
        <v/>
      </c>
      <c r="AM49" t="str">
        <f t="shared" si="119"/>
        <v/>
      </c>
      <c r="AN49" t="str">
        <f t="shared" si="120"/>
        <v/>
      </c>
      <c r="AP49" t="str">
        <f t="shared" si="121"/>
        <v/>
      </c>
      <c r="AQ49" t="str">
        <f t="shared" si="122"/>
        <v/>
      </c>
      <c r="AR49" t="str">
        <f t="shared" si="123"/>
        <v/>
      </c>
      <c r="AT49" t="str">
        <f t="shared" si="124"/>
        <v/>
      </c>
      <c r="AU49" t="str">
        <f t="shared" si="125"/>
        <v/>
      </c>
      <c r="AV49" t="str">
        <f t="shared" si="126"/>
        <v/>
      </c>
      <c r="AX49">
        <f t="shared" si="127"/>
        <v>1.4359699999999975</v>
      </c>
      <c r="AY49">
        <f t="shared" si="128"/>
        <v>0.329819999999998</v>
      </c>
      <c r="AZ49">
        <f t="shared" si="129"/>
        <v>-2.2420999999999998</v>
      </c>
      <c r="BC49" s="1">
        <f t="shared" ref="BC49:BC56" si="133">A49</f>
        <v>41986</v>
      </c>
      <c r="BD49">
        <f t="shared" ref="BD49:BD56" si="134">C49*D49</f>
        <v>288.98999999999995</v>
      </c>
      <c r="BE49">
        <f t="shared" ref="BE49:BE56" si="135">IF($B49="Newspoll",AA49+AL$58,IF($B49="ReachTEL",AA49+AP$58,IF($B49="Galaxy",AA49+AT$58,IF($B49="Essential",AA49+AX$58,"X"))))</f>
        <v>38.298102</v>
      </c>
      <c r="BF49">
        <f t="shared" ref="BF49:BF56" si="136">IF($B49="Newspoll",AB49+AM$58,IF($B49="ReachTEL",AB49+AQ$58,IF($B49="Galaxy",AB49+AU$58,IF($B49="Essential",AB49+AY$58,"X"))))</f>
        <v>36.412413000000001</v>
      </c>
      <c r="BG49">
        <f t="shared" ref="BG49:BG56" si="137">IF($B49="Newspoll",AC49+AN$58,IF($B49="ReachTEL",AC49+AR$58,IF($B49="Galaxy",AC49+AV$58,IF($B49="Essential",AC49+AZ$58,"X"))))</f>
        <v>10.217955</v>
      </c>
      <c r="BH49">
        <f t="shared" ref="BH49:BH56" si="138">W49*(100-SUM(E49:G49))</f>
        <v>1.8921000000000001</v>
      </c>
      <c r="BJ49" s="1">
        <f t="shared" si="46"/>
        <v>41986</v>
      </c>
      <c r="BK49">
        <f t="shared" si="47"/>
        <v>288.98999999999995</v>
      </c>
      <c r="BL49">
        <f t="shared" si="99"/>
        <v>5.7796500000000002</v>
      </c>
      <c r="BO49" s="3">
        <v>39.489260000000002</v>
      </c>
      <c r="BP49" s="3">
        <v>37.47634</v>
      </c>
      <c r="BQ49" s="3">
        <v>7.4779900000000001</v>
      </c>
      <c r="BR49" s="3">
        <v>1.89439</v>
      </c>
      <c r="BS49" s="3">
        <v>5.8628200000000001</v>
      </c>
      <c r="BU49">
        <f t="shared" si="76"/>
        <v>22.082260859542139</v>
      </c>
      <c r="BV49">
        <f t="shared" si="77"/>
        <v>25.898379144338012</v>
      </c>
      <c r="BX49">
        <f t="shared" si="34"/>
        <v>44.57577629543038</v>
      </c>
      <c r="BY49">
        <f t="shared" si="35"/>
        <v>43.441876245623398</v>
      </c>
      <c r="CA49" s="1">
        <f t="shared" si="36"/>
        <v>41986</v>
      </c>
      <c r="CB49">
        <f t="shared" si="37"/>
        <v>50.644132180915705</v>
      </c>
      <c r="CC49">
        <f t="shared" si="38"/>
        <v>49.355867819084303</v>
      </c>
    </row>
    <row r="50" spans="1:81" ht="15.75" thickBot="1" x14ac:dyDescent="0.3">
      <c r="A50" s="1">
        <v>42010</v>
      </c>
      <c r="B50" t="s">
        <v>6</v>
      </c>
      <c r="C50">
        <v>1583</v>
      </c>
      <c r="D50">
        <f t="shared" si="39"/>
        <v>0.41</v>
      </c>
      <c r="E50">
        <v>40.299999999999997</v>
      </c>
      <c r="F50">
        <v>38.1</v>
      </c>
      <c r="G50">
        <v>7.6</v>
      </c>
      <c r="H50">
        <v>6.3</v>
      </c>
      <c r="J50">
        <v>50</v>
      </c>
      <c r="M50" s="1">
        <f t="shared" si="115"/>
        <v>42010</v>
      </c>
      <c r="N50">
        <f t="shared" si="116"/>
        <v>649.03</v>
      </c>
      <c r="O50">
        <f t="shared" si="117"/>
        <v>0.45</v>
      </c>
      <c r="P50" s="3">
        <v>0.34643000000000002</v>
      </c>
      <c r="Q50" s="5">
        <f>P50</f>
        <v>0.34643000000000002</v>
      </c>
      <c r="R50" s="3"/>
      <c r="S50" s="2"/>
      <c r="W50">
        <f>W49+((($A50-$A49)/(S51-S49))*(W51-W49))</f>
        <v>0.12694307692307694</v>
      </c>
      <c r="Y50" s="1">
        <f t="shared" si="106"/>
        <v>42010</v>
      </c>
      <c r="Z50">
        <f t="shared" si="107"/>
        <v>649.03</v>
      </c>
      <c r="AA50">
        <f t="shared" si="108"/>
        <v>40.299999999999997</v>
      </c>
      <c r="AB50">
        <f t="shared" si="109"/>
        <v>38.1</v>
      </c>
      <c r="AC50">
        <f t="shared" si="110"/>
        <v>7.6</v>
      </c>
      <c r="AD50">
        <f t="shared" si="111"/>
        <v>50</v>
      </c>
      <c r="AF50" s="3">
        <v>40.47157</v>
      </c>
      <c r="AG50" s="3">
        <v>37.329560000000001</v>
      </c>
      <c r="AH50" s="3">
        <v>7.8287800000000001</v>
      </c>
      <c r="AI50" s="5">
        <f t="shared" si="44"/>
        <v>4.9782302787000017</v>
      </c>
      <c r="AJ50" s="3">
        <f t="shared" si="45"/>
        <v>1.8241834402615393</v>
      </c>
      <c r="AL50" t="str">
        <f t="shared" si="118"/>
        <v/>
      </c>
      <c r="AM50" t="str">
        <f t="shared" si="119"/>
        <v/>
      </c>
      <c r="AN50" t="str">
        <f t="shared" si="120"/>
        <v/>
      </c>
      <c r="AP50">
        <f t="shared" si="121"/>
        <v>0.17157000000000266</v>
      </c>
      <c r="AQ50">
        <f t="shared" si="122"/>
        <v>-0.77044000000000068</v>
      </c>
      <c r="AR50">
        <f t="shared" si="123"/>
        <v>0.22878000000000043</v>
      </c>
      <c r="AT50" t="str">
        <f t="shared" si="124"/>
        <v/>
      </c>
      <c r="AU50" t="str">
        <f t="shared" si="125"/>
        <v/>
      </c>
      <c r="AV50" t="str">
        <f t="shared" si="126"/>
        <v/>
      </c>
      <c r="AX50" t="str">
        <f t="shared" si="127"/>
        <v/>
      </c>
      <c r="AY50" t="str">
        <f t="shared" si="128"/>
        <v/>
      </c>
      <c r="AZ50" t="str">
        <f t="shared" si="129"/>
        <v/>
      </c>
      <c r="BC50" s="1">
        <f t="shared" si="133"/>
        <v>42010</v>
      </c>
      <c r="BD50">
        <f t="shared" si="134"/>
        <v>649.03</v>
      </c>
      <c r="BE50">
        <f t="shared" si="135"/>
        <v>40.091269090909087</v>
      </c>
      <c r="BF50">
        <f t="shared" si="136"/>
        <v>37.902054545454547</v>
      </c>
      <c r="BG50">
        <f t="shared" si="137"/>
        <v>8.0452863636363627</v>
      </c>
      <c r="BH50">
        <f t="shared" si="138"/>
        <v>1.7772030769230771</v>
      </c>
      <c r="BJ50" s="1">
        <f t="shared" si="46"/>
        <v>42010</v>
      </c>
      <c r="BK50">
        <f t="shared" si="47"/>
        <v>649.03</v>
      </c>
      <c r="BL50">
        <f t="shared" si="99"/>
        <v>4.8500200000000007</v>
      </c>
      <c r="BO50" s="3">
        <v>40.598289999999999</v>
      </c>
      <c r="BP50" s="3">
        <v>37.530340000000002</v>
      </c>
      <c r="BQ50" s="3">
        <v>7.4801299999999999</v>
      </c>
      <c r="BR50" s="3">
        <v>1.7856700000000001</v>
      </c>
      <c r="BS50" s="3">
        <v>4.8313600000000001</v>
      </c>
      <c r="BU50">
        <f t="shared" si="76"/>
        <v>21.975689555675661</v>
      </c>
      <c r="BV50">
        <f t="shared" si="77"/>
        <v>26.354002841484878</v>
      </c>
      <c r="BX50">
        <f t="shared" si="34"/>
        <v>45.404674372773179</v>
      </c>
      <c r="BY50">
        <f t="shared" si="35"/>
        <v>43.294321471271672</v>
      </c>
      <c r="CA50" s="1">
        <f t="shared" si="36"/>
        <v>42010</v>
      </c>
      <c r="CB50">
        <f t="shared" si="37"/>
        <v>51.189614877496496</v>
      </c>
      <c r="CC50">
        <f t="shared" si="38"/>
        <v>48.810385122503511</v>
      </c>
    </row>
    <row r="51" spans="1:81" ht="15.75" thickBot="1" x14ac:dyDescent="0.3">
      <c r="A51" s="1">
        <v>42012</v>
      </c>
      <c r="B51" t="s">
        <v>7</v>
      </c>
      <c r="C51">
        <v>800</v>
      </c>
      <c r="D51">
        <f t="shared" si="39"/>
        <v>1.1299999999999999</v>
      </c>
      <c r="E51">
        <v>41</v>
      </c>
      <c r="F51">
        <v>38</v>
      </c>
      <c r="G51">
        <v>8</v>
      </c>
      <c r="H51">
        <v>3</v>
      </c>
      <c r="I51">
        <v>3</v>
      </c>
      <c r="J51">
        <v>52</v>
      </c>
      <c r="M51" s="1">
        <f t="shared" si="115"/>
        <v>42012</v>
      </c>
      <c r="N51">
        <f t="shared" si="116"/>
        <v>903.99999999999989</v>
      </c>
      <c r="O51">
        <f t="shared" si="117"/>
        <v>0.23076923076923078</v>
      </c>
      <c r="P51" s="3">
        <v>0.34319</v>
      </c>
      <c r="Q51" s="5">
        <f>P51</f>
        <v>0.34319</v>
      </c>
      <c r="R51" s="3"/>
      <c r="S51" s="2">
        <f t="shared" ref="S51:S52" si="139">IF(I51&lt;&gt;"",A51,"")</f>
        <v>42012</v>
      </c>
      <c r="T51">
        <f t="shared" ref="T51:T52" si="140">IF(I51&lt;&gt;"",C51*D51,"")</f>
        <v>903.99999999999989</v>
      </c>
      <c r="U51">
        <f t="shared" ref="U51:U52" si="141">IF(I51&lt;&gt;"",I51/(100-SUM(E51:G51)),"")</f>
        <v>0.23076923076923078</v>
      </c>
      <c r="V51" s="3">
        <v>0.12701000000000001</v>
      </c>
      <c r="W51" s="5">
        <f>V51</f>
        <v>0.12701000000000001</v>
      </c>
      <c r="Y51" s="1">
        <f t="shared" si="106"/>
        <v>42012</v>
      </c>
      <c r="Z51">
        <f t="shared" si="107"/>
        <v>903.99999999999989</v>
      </c>
      <c r="AA51">
        <f t="shared" si="108"/>
        <v>41</v>
      </c>
      <c r="AB51">
        <f t="shared" si="109"/>
        <v>38</v>
      </c>
      <c r="AC51">
        <f t="shared" si="110"/>
        <v>8</v>
      </c>
      <c r="AD51">
        <f t="shared" si="111"/>
        <v>52</v>
      </c>
      <c r="AF51" s="3">
        <v>40.564480000000003</v>
      </c>
      <c r="AG51" s="3">
        <v>37.31588</v>
      </c>
      <c r="AH51" s="3">
        <v>7.8354699999999999</v>
      </c>
      <c r="AI51" s="5">
        <f t="shared" si="44"/>
        <v>4.9021843023000011</v>
      </c>
      <c r="AJ51" s="3">
        <f t="shared" si="45"/>
        <v>1.8142324317000005</v>
      </c>
      <c r="AL51" t="str">
        <f t="shared" si="118"/>
        <v/>
      </c>
      <c r="AM51" t="str">
        <f t="shared" si="119"/>
        <v/>
      </c>
      <c r="AN51" t="str">
        <f t="shared" si="120"/>
        <v/>
      </c>
      <c r="AP51" t="str">
        <f t="shared" si="121"/>
        <v/>
      </c>
      <c r="AQ51" t="str">
        <f t="shared" si="122"/>
        <v/>
      </c>
      <c r="AR51" t="str">
        <f t="shared" si="123"/>
        <v/>
      </c>
      <c r="AT51">
        <f t="shared" si="124"/>
        <v>-0.4355199999999968</v>
      </c>
      <c r="AU51">
        <f t="shared" si="125"/>
        <v>-0.68412000000000006</v>
      </c>
      <c r="AV51">
        <f t="shared" si="126"/>
        <v>-0.16453000000000007</v>
      </c>
      <c r="AX51" t="str">
        <f t="shared" si="127"/>
        <v/>
      </c>
      <c r="AY51" t="str">
        <f t="shared" si="128"/>
        <v/>
      </c>
      <c r="AZ51" t="str">
        <f t="shared" si="129"/>
        <v/>
      </c>
      <c r="BC51" s="1">
        <f t="shared" si="133"/>
        <v>42012</v>
      </c>
      <c r="BD51">
        <f t="shared" si="134"/>
        <v>903.99999999999989</v>
      </c>
      <c r="BE51">
        <f t="shared" si="135"/>
        <v>40.707368181818183</v>
      </c>
      <c r="BF51">
        <f t="shared" si="136"/>
        <v>37.614707272727273</v>
      </c>
      <c r="BG51">
        <f t="shared" si="137"/>
        <v>7.5910736363636362</v>
      </c>
      <c r="BH51">
        <f t="shared" si="138"/>
        <v>1.6511300000000002</v>
      </c>
      <c r="BJ51" s="1">
        <f t="shared" si="46"/>
        <v>42012</v>
      </c>
      <c r="BK51">
        <f t="shared" si="47"/>
        <v>903.99999999999989</v>
      </c>
      <c r="BL51">
        <f t="shared" si="99"/>
        <v>4.4614700000000003</v>
      </c>
      <c r="BO51" s="3">
        <v>40.6952</v>
      </c>
      <c r="BP51" s="3">
        <v>37.535809999999998</v>
      </c>
      <c r="BQ51" s="3">
        <v>7.4806400000000002</v>
      </c>
      <c r="BR51" s="3">
        <v>1.78986</v>
      </c>
      <c r="BS51" s="3">
        <v>4.7959399999999999</v>
      </c>
      <c r="BU51">
        <f t="shared" si="76"/>
        <v>21.965159311904209</v>
      </c>
      <c r="BV51">
        <f t="shared" si="77"/>
        <v>26.398028635773457</v>
      </c>
      <c r="BX51">
        <f t="shared" si="34"/>
        <v>45.476793334092498</v>
      </c>
      <c r="BY51">
        <f t="shared" si="35"/>
        <v>43.282394213918657</v>
      </c>
      <c r="CA51" s="1">
        <f t="shared" si="36"/>
        <v>42012</v>
      </c>
      <c r="CB51">
        <f t="shared" si="37"/>
        <v>51.236153225820622</v>
      </c>
      <c r="CC51">
        <f t="shared" si="38"/>
        <v>48.76384677417937</v>
      </c>
    </row>
    <row r="52" spans="1:81" ht="15.75" thickBot="1" x14ac:dyDescent="0.3">
      <c r="A52" s="1">
        <v>42012</v>
      </c>
      <c r="B52" t="s">
        <v>8</v>
      </c>
      <c r="C52">
        <v>801</v>
      </c>
      <c r="D52">
        <f t="shared" si="39"/>
        <v>1</v>
      </c>
      <c r="E52">
        <v>42</v>
      </c>
      <c r="F52">
        <v>37</v>
      </c>
      <c r="G52">
        <v>7</v>
      </c>
      <c r="I52">
        <v>1</v>
      </c>
      <c r="J52">
        <v>53</v>
      </c>
      <c r="M52" s="1" t="str">
        <f t="shared" ref="M52:M54" si="142">IF(H52&lt;&gt;"",A52,"")</f>
        <v/>
      </c>
      <c r="N52" t="str">
        <f t="shared" ref="N52:N54" si="143">IF(H52&lt;&gt;"",C52*D52,"")</f>
        <v/>
      </c>
      <c r="O52" t="str">
        <f t="shared" ref="O52:O54" si="144">IF(H52&lt;&gt;"",H52/(100-SUM(E52:G52)),"")</f>
        <v/>
      </c>
      <c r="Q52">
        <f>Q51+((($A52-$A51)/(M53-M51))*(Q53-Q51))</f>
        <v>0.34319</v>
      </c>
      <c r="S52" s="2">
        <f t="shared" si="139"/>
        <v>42012</v>
      </c>
      <c r="T52">
        <f t="shared" si="140"/>
        <v>801</v>
      </c>
      <c r="U52">
        <f t="shared" si="141"/>
        <v>7.1428571428571425E-2</v>
      </c>
      <c r="V52" s="3">
        <v>0.12701000000000001</v>
      </c>
      <c r="W52" s="5">
        <f>V52</f>
        <v>0.12701000000000001</v>
      </c>
      <c r="Y52" s="1">
        <f t="shared" si="106"/>
        <v>42012</v>
      </c>
      <c r="Z52">
        <f t="shared" si="107"/>
        <v>801</v>
      </c>
      <c r="AA52">
        <f t="shared" si="108"/>
        <v>42</v>
      </c>
      <c r="AB52">
        <f t="shared" si="109"/>
        <v>37</v>
      </c>
      <c r="AC52">
        <f t="shared" si="110"/>
        <v>7</v>
      </c>
      <c r="AD52">
        <f t="shared" si="111"/>
        <v>53</v>
      </c>
      <c r="AF52" s="3">
        <v>40.564480000000003</v>
      </c>
      <c r="AG52" s="3">
        <v>37.31588</v>
      </c>
      <c r="AH52" s="3">
        <v>7.8354699999999999</v>
      </c>
      <c r="AI52" s="5">
        <f t="shared" si="44"/>
        <v>4.9021843023000011</v>
      </c>
      <c r="AJ52" s="3">
        <f t="shared" si="45"/>
        <v>1.8142324317000005</v>
      </c>
      <c r="AL52">
        <f t="shared" si="118"/>
        <v>-1.4355199999999968</v>
      </c>
      <c r="AM52">
        <f t="shared" si="119"/>
        <v>0.31587999999999994</v>
      </c>
      <c r="AN52">
        <f t="shared" si="120"/>
        <v>0.83546999999999993</v>
      </c>
      <c r="AP52" t="str">
        <f t="shared" si="121"/>
        <v/>
      </c>
      <c r="AQ52" t="str">
        <f t="shared" si="122"/>
        <v/>
      </c>
      <c r="AR52" t="str">
        <f t="shared" si="123"/>
        <v/>
      </c>
      <c r="AT52" t="str">
        <f t="shared" si="124"/>
        <v/>
      </c>
      <c r="AU52" t="str">
        <f t="shared" si="125"/>
        <v/>
      </c>
      <c r="AV52" t="str">
        <f t="shared" si="126"/>
        <v/>
      </c>
      <c r="AX52" t="str">
        <f t="shared" si="127"/>
        <v/>
      </c>
      <c r="AY52" t="str">
        <f t="shared" si="128"/>
        <v/>
      </c>
      <c r="AZ52" t="str">
        <f t="shared" si="129"/>
        <v/>
      </c>
      <c r="BC52" s="1">
        <f t="shared" si="133"/>
        <v>42012</v>
      </c>
      <c r="BD52">
        <f t="shared" si="134"/>
        <v>801</v>
      </c>
      <c r="BE52">
        <f t="shared" si="135"/>
        <v>42.828401818181817</v>
      </c>
      <c r="BF52">
        <f t="shared" si="136"/>
        <v>38.370295454545456</v>
      </c>
      <c r="BG52">
        <f t="shared" si="137"/>
        <v>6.5798372727272731</v>
      </c>
      <c r="BH52">
        <f t="shared" si="138"/>
        <v>1.7781400000000001</v>
      </c>
      <c r="BJ52" s="1">
        <f t="shared" si="46"/>
        <v>42012</v>
      </c>
      <c r="BK52">
        <f t="shared" si="47"/>
        <v>801</v>
      </c>
      <c r="BL52">
        <f t="shared" si="99"/>
        <v>4.8046600000000002</v>
      </c>
      <c r="BO52" s="3">
        <v>40.6952</v>
      </c>
      <c r="BP52" s="3">
        <v>37.535809999999998</v>
      </c>
      <c r="BQ52" s="3">
        <v>7.4806400000000002</v>
      </c>
      <c r="BR52" s="3">
        <v>1.78986</v>
      </c>
      <c r="BS52" s="3">
        <v>4.7959399999999999</v>
      </c>
      <c r="BU52">
        <f t="shared" si="76"/>
        <v>21.965159311904209</v>
      </c>
      <c r="BV52">
        <f t="shared" si="77"/>
        <v>26.398028635773457</v>
      </c>
      <c r="BX52">
        <f t="shared" si="34"/>
        <v>45.476793334092498</v>
      </c>
      <c r="BY52">
        <f t="shared" si="35"/>
        <v>43.282394213918657</v>
      </c>
      <c r="CA52" s="1">
        <f t="shared" si="36"/>
        <v>42012</v>
      </c>
      <c r="CB52">
        <f t="shared" si="37"/>
        <v>51.236153225820622</v>
      </c>
      <c r="CC52">
        <f t="shared" si="38"/>
        <v>48.76384677417937</v>
      </c>
    </row>
    <row r="53" spans="1:81" ht="15.75" thickBot="1" x14ac:dyDescent="0.3">
      <c r="A53" s="1">
        <v>42024</v>
      </c>
      <c r="B53" t="s">
        <v>6</v>
      </c>
      <c r="C53">
        <v>1635</v>
      </c>
      <c r="D53">
        <f t="shared" si="39"/>
        <v>0.41</v>
      </c>
      <c r="E53">
        <v>42</v>
      </c>
      <c r="F53">
        <v>36.700000000000003</v>
      </c>
      <c r="G53">
        <v>8.4</v>
      </c>
      <c r="H53">
        <v>5.2</v>
      </c>
      <c r="J53">
        <v>52</v>
      </c>
      <c r="M53" s="1">
        <f t="shared" si="142"/>
        <v>42024</v>
      </c>
      <c r="N53">
        <f t="shared" si="143"/>
        <v>670.34999999999991</v>
      </c>
      <c r="O53">
        <f t="shared" si="144"/>
        <v>0.40310077519379872</v>
      </c>
      <c r="P53" s="3">
        <v>0.32380999999999999</v>
      </c>
      <c r="Q53" s="5">
        <f>P53</f>
        <v>0.32380999999999999</v>
      </c>
      <c r="R53" s="3"/>
      <c r="S53" s="2" t="str">
        <f t="shared" ref="S53:S56" si="145">IF(I53&lt;&gt;"",A53,"")</f>
        <v/>
      </c>
      <c r="T53" t="str">
        <f t="shared" ref="T53:T56" si="146">IF(I53&lt;&gt;"",C53*D53,"")</f>
        <v/>
      </c>
      <c r="U53" t="str">
        <f t="shared" ref="U53:U56" si="147">IF(I53&lt;&gt;"",I53/(100-SUM(E53:G53)),"")</f>
        <v/>
      </c>
      <c r="V53" s="3"/>
      <c r="W53">
        <f>W52+((($A53-$A52)/(S54-S52))*(W54-W52))</f>
        <v>0.12767600000000001</v>
      </c>
      <c r="Y53" s="1">
        <f t="shared" si="106"/>
        <v>42024</v>
      </c>
      <c r="Z53">
        <f t="shared" si="107"/>
        <v>670.34999999999991</v>
      </c>
      <c r="AA53">
        <f t="shared" si="108"/>
        <v>42</v>
      </c>
      <c r="AB53">
        <f t="shared" si="109"/>
        <v>36.700000000000003</v>
      </c>
      <c r="AC53">
        <f t="shared" si="110"/>
        <v>8.4</v>
      </c>
      <c r="AD53">
        <f t="shared" si="111"/>
        <v>52</v>
      </c>
      <c r="AF53" s="3">
        <v>41.137810000000002</v>
      </c>
      <c r="AG53" s="3">
        <v>37.208159999999999</v>
      </c>
      <c r="AH53" s="3">
        <v>7.8756300000000001</v>
      </c>
      <c r="AI53" s="5">
        <f t="shared" ref="AI53:AI56" si="148">(100-SUM(AF53:AH53))*Q53</f>
        <v>4.4615837040000015</v>
      </c>
      <c r="AJ53" s="3">
        <f t="shared" ref="AJ53:AJ56" si="149">(100-SUM(AF53:AH53))*W53</f>
        <v>1.7591709984000008</v>
      </c>
      <c r="AL53" t="str">
        <f t="shared" si="118"/>
        <v/>
      </c>
      <c r="AM53" t="str">
        <f t="shared" si="119"/>
        <v/>
      </c>
      <c r="AN53" t="str">
        <f t="shared" si="120"/>
        <v/>
      </c>
      <c r="AP53">
        <f t="shared" si="121"/>
        <v>-0.86218999999999824</v>
      </c>
      <c r="AQ53">
        <f t="shared" si="122"/>
        <v>0.50815999999999661</v>
      </c>
      <c r="AR53">
        <f t="shared" si="123"/>
        <v>-0.52437000000000022</v>
      </c>
      <c r="AT53" t="str">
        <f t="shared" si="124"/>
        <v/>
      </c>
      <c r="AU53" t="str">
        <f t="shared" si="125"/>
        <v/>
      </c>
      <c r="AV53" t="str">
        <f t="shared" si="126"/>
        <v/>
      </c>
      <c r="AX53" t="str">
        <f t="shared" si="127"/>
        <v/>
      </c>
      <c r="AY53" t="str">
        <f t="shared" si="128"/>
        <v/>
      </c>
      <c r="AZ53" t="str">
        <f t="shared" si="129"/>
        <v/>
      </c>
      <c r="BC53" s="1">
        <f t="shared" si="133"/>
        <v>42024</v>
      </c>
      <c r="BD53">
        <f t="shared" si="134"/>
        <v>670.34999999999991</v>
      </c>
      <c r="BE53">
        <f t="shared" si="135"/>
        <v>41.79126909090909</v>
      </c>
      <c r="BF53">
        <f t="shared" si="136"/>
        <v>36.502054545454548</v>
      </c>
      <c r="BG53">
        <f t="shared" si="137"/>
        <v>8.8452863636363634</v>
      </c>
      <c r="BH53">
        <f t="shared" si="138"/>
        <v>1.6470203999999991</v>
      </c>
      <c r="BJ53" s="1">
        <f t="shared" si="46"/>
        <v>42024</v>
      </c>
      <c r="BK53">
        <f t="shared" ref="BK53:BK54" si="150">C53*D53</f>
        <v>670.34999999999991</v>
      </c>
      <c r="BL53">
        <f t="shared" ref="BL53" si="151">Q53*(100-SUM(E53:G53))</f>
        <v>4.1771489999999973</v>
      </c>
      <c r="BO53" s="3">
        <v>41.286389999999997</v>
      </c>
      <c r="BP53" s="3">
        <v>37.568719999999999</v>
      </c>
      <c r="BQ53" s="3">
        <v>7.4836999999999998</v>
      </c>
      <c r="BR53" s="3">
        <v>1.83169</v>
      </c>
      <c r="BS53" s="3">
        <v>4.6506400000000001</v>
      </c>
      <c r="BU53">
        <f t="shared" ref="BU53" si="152">29.5+(($BP53/($BO53+$BP53))*-8.9)+((BQ53/(100-(BO53+BP53)))*-9.5)</f>
        <v>21.897512670046634</v>
      </c>
      <c r="BV53">
        <f t="shared" ref="BV53" si="153">4.7+(($BP53/($BO53+$BP53))*20.8)+((BQ53/(100-(BO53+BP53)))*34.1)</f>
        <v>26.678520079339371</v>
      </c>
      <c r="BX53">
        <f t="shared" ref="BX53" si="154">BO53+((100-(BO53+BP53))*(BU53/100))</f>
        <v>45.916594966817421</v>
      </c>
      <c r="BY53">
        <f t="shared" ref="BY53" si="155">BP53+((100-($BO53+$BP53))*(BV53/100))</f>
        <v>43.209863724404222</v>
      </c>
      <c r="CA53" s="1">
        <f t="shared" si="36"/>
        <v>42024</v>
      </c>
      <c r="CB53">
        <f t="shared" ref="CB53" si="156">(BX53/($BX53+$BY53))*100</f>
        <v>51.518477948165007</v>
      </c>
      <c r="CC53">
        <f t="shared" ref="CC53" si="157">(BY53/($BX53+$BY53))*100</f>
        <v>48.481522051834993</v>
      </c>
    </row>
    <row r="54" spans="1:81" ht="15.75" thickBot="1" x14ac:dyDescent="0.3">
      <c r="A54" s="1">
        <v>42032</v>
      </c>
      <c r="B54" t="s">
        <v>7</v>
      </c>
      <c r="C54">
        <v>800</v>
      </c>
      <c r="D54">
        <f t="shared" si="39"/>
        <v>1.1299999999999999</v>
      </c>
      <c r="E54">
        <v>41</v>
      </c>
      <c r="F54">
        <v>37</v>
      </c>
      <c r="G54">
        <v>8</v>
      </c>
      <c r="H54">
        <v>4</v>
      </c>
      <c r="I54">
        <v>2</v>
      </c>
      <c r="J54">
        <v>52</v>
      </c>
      <c r="M54" s="1">
        <f t="shared" ref="M54:M56" si="158">IF(H54&lt;&gt;"",A54,"")</f>
        <v>42032</v>
      </c>
      <c r="N54">
        <f t="shared" ref="N54:N56" si="159">IF(H54&lt;&gt;"",C54*D54,"")</f>
        <v>903.99999999999989</v>
      </c>
      <c r="O54">
        <f t="shared" ref="O54:O56" si="160">IF(H54&lt;&gt;"",H54/(100-SUM(E54:G54)),"")</f>
        <v>0.2857142857142857</v>
      </c>
      <c r="P54" s="3">
        <v>0.31089</v>
      </c>
      <c r="Q54" s="5">
        <f>P54</f>
        <v>0.31089</v>
      </c>
      <c r="R54" s="3"/>
      <c r="S54" s="2">
        <f t="shared" si="145"/>
        <v>42032</v>
      </c>
      <c r="T54">
        <f t="shared" si="146"/>
        <v>903.99999999999989</v>
      </c>
      <c r="U54">
        <f t="shared" si="147"/>
        <v>0.14285714285714285</v>
      </c>
      <c r="V54" s="3">
        <v>0.12812000000000001</v>
      </c>
      <c r="W54" s="5">
        <f>V54</f>
        <v>0.12812000000000001</v>
      </c>
      <c r="Y54" s="1">
        <f t="shared" si="106"/>
        <v>42032</v>
      </c>
      <c r="Z54">
        <f t="shared" si="107"/>
        <v>903.99999999999989</v>
      </c>
      <c r="AA54">
        <f t="shared" si="108"/>
        <v>41</v>
      </c>
      <c r="AB54">
        <f t="shared" si="109"/>
        <v>37</v>
      </c>
      <c r="AC54">
        <f t="shared" si="110"/>
        <v>8</v>
      </c>
      <c r="AD54">
        <f t="shared" si="111"/>
        <v>52</v>
      </c>
      <c r="AF54" s="3">
        <v>41.531019999999998</v>
      </c>
      <c r="AG54" s="3">
        <v>37.105849999999997</v>
      </c>
      <c r="AH54" s="3">
        <v>7.9024000000000001</v>
      </c>
      <c r="AI54" s="5">
        <f t="shared" si="148"/>
        <v>4.1848063497000041</v>
      </c>
      <c r="AJ54" s="3">
        <f t="shared" si="149"/>
        <v>1.7245887276000018</v>
      </c>
      <c r="AL54" t="str">
        <f t="shared" si="118"/>
        <v/>
      </c>
      <c r="AM54" t="str">
        <f t="shared" si="119"/>
        <v/>
      </c>
      <c r="AN54" t="str">
        <f t="shared" si="120"/>
        <v/>
      </c>
      <c r="AP54" t="str">
        <f t="shared" si="121"/>
        <v/>
      </c>
      <c r="AQ54" t="str">
        <f t="shared" si="122"/>
        <v/>
      </c>
      <c r="AR54" t="str">
        <f t="shared" si="123"/>
        <v/>
      </c>
      <c r="AT54">
        <f t="shared" si="124"/>
        <v>0.53101999999999805</v>
      </c>
      <c r="AU54">
        <f t="shared" si="125"/>
        <v>0.10584999999999667</v>
      </c>
      <c r="AV54">
        <f t="shared" si="126"/>
        <v>-9.7599999999999909E-2</v>
      </c>
      <c r="AX54" t="str">
        <f t="shared" si="127"/>
        <v/>
      </c>
      <c r="AY54" t="str">
        <f t="shared" si="128"/>
        <v/>
      </c>
      <c r="AZ54" t="str">
        <f t="shared" si="129"/>
        <v/>
      </c>
      <c r="BC54" s="1">
        <f t="shared" si="133"/>
        <v>42032</v>
      </c>
      <c r="BD54">
        <f t="shared" si="134"/>
        <v>903.99999999999989</v>
      </c>
      <c r="BE54">
        <f t="shared" si="135"/>
        <v>40.707368181818183</v>
      </c>
      <c r="BF54">
        <f t="shared" si="136"/>
        <v>36.614707272727273</v>
      </c>
      <c r="BG54">
        <f t="shared" si="137"/>
        <v>7.5910736363636362</v>
      </c>
      <c r="BH54">
        <f t="shared" si="138"/>
        <v>1.7936800000000002</v>
      </c>
      <c r="BJ54" s="1">
        <f t="shared" ref="BJ54:BJ56" si="161">A54</f>
        <v>42032</v>
      </c>
      <c r="BK54">
        <f t="shared" ref="BK54:BK56" si="162">C54*D54</f>
        <v>903.99999999999989</v>
      </c>
      <c r="BL54">
        <f t="shared" ref="BL54:BL56" si="163">Q54*(100-SUM(E54:G54))</f>
        <v>4.3524599999999998</v>
      </c>
      <c r="BO54" s="3">
        <v>41.686320000000002</v>
      </c>
      <c r="BP54" s="3">
        <v>37.588090000000001</v>
      </c>
      <c r="BQ54" s="3">
        <v>7.4857300000000002</v>
      </c>
      <c r="BR54" s="3">
        <v>1.87164</v>
      </c>
      <c r="BS54" s="3">
        <v>4.5537799999999997</v>
      </c>
      <c r="BU54">
        <f t="shared" ref="BU54:BU56" si="164">29.5+(($BP54/($BO54+$BP54))*-8.9)+((BQ54/(100-(BO54+BP54)))*-9.5)</f>
        <v>21.848812428003789</v>
      </c>
      <c r="BV54">
        <f t="shared" ref="BV54:BV56" si="165">4.7+(($BP54/($BO54+$BP54))*20.8)+((BQ54/(100-(BO54+BP54)))*34.1)</f>
        <v>26.878692743630001</v>
      </c>
      <c r="BX54">
        <f t="shared" ref="BX54:BX56" si="166">BO54+((100-(BO54+BP54))*(BU54/100))</f>
        <v>46.214615283697114</v>
      </c>
      <c r="BY54">
        <f t="shared" ref="BY54:BY56" si="167">BP54+((100-($BO54+$BP54))*(BV54/100))</f>
        <v>43.158857655404503</v>
      </c>
      <c r="CA54" s="1">
        <f t="shared" ref="CA54:CA56" si="168">A54</f>
        <v>42032</v>
      </c>
      <c r="CB54">
        <f t="shared" ref="CB54:CB56" si="169">(BX54/($BX54+$BY54))*100</f>
        <v>51.709543966348257</v>
      </c>
      <c r="CC54">
        <f t="shared" ref="CC54:CC56" si="170">(BY54/($BX54+$BY54))*100</f>
        <v>48.290456033651743</v>
      </c>
    </row>
    <row r="55" spans="1:81" ht="15.75" thickBot="1" x14ac:dyDescent="0.3">
      <c r="A55" s="1">
        <v>42032</v>
      </c>
      <c r="B55" t="s">
        <v>8</v>
      </c>
      <c r="C55">
        <v>1682</v>
      </c>
      <c r="D55">
        <f t="shared" si="39"/>
        <v>1</v>
      </c>
      <c r="E55">
        <v>41</v>
      </c>
      <c r="F55">
        <v>37</v>
      </c>
      <c r="G55">
        <v>6</v>
      </c>
      <c r="I55">
        <v>2</v>
      </c>
      <c r="J55">
        <v>52</v>
      </c>
      <c r="M55" s="1" t="str">
        <f t="shared" si="158"/>
        <v/>
      </c>
      <c r="N55" t="str">
        <f t="shared" si="159"/>
        <v/>
      </c>
      <c r="O55" t="str">
        <f t="shared" si="160"/>
        <v/>
      </c>
      <c r="Q55">
        <f>Q54+((($A55-$A54)/(M56-M54))*(Q56-Q54))</f>
        <v>0.31089</v>
      </c>
      <c r="R55" s="3"/>
      <c r="S55" s="2">
        <f t="shared" si="145"/>
        <v>42032</v>
      </c>
      <c r="T55">
        <f t="shared" si="146"/>
        <v>1682</v>
      </c>
      <c r="U55">
        <f t="shared" si="147"/>
        <v>0.125</v>
      </c>
      <c r="V55" s="3">
        <v>0.12812000000000001</v>
      </c>
      <c r="W55" s="5">
        <f>V55</f>
        <v>0.12812000000000001</v>
      </c>
      <c r="Y55" s="1">
        <f t="shared" ref="Y55" si="171">A55</f>
        <v>42032</v>
      </c>
      <c r="Z55">
        <f t="shared" ref="Z55" si="172">C55*D55</f>
        <v>1682</v>
      </c>
      <c r="AA55">
        <f t="shared" ref="AA55" si="173">E55</f>
        <v>41</v>
      </c>
      <c r="AB55">
        <f t="shared" ref="AB55" si="174">F55</f>
        <v>37</v>
      </c>
      <c r="AC55">
        <f t="shared" ref="AC55" si="175">G55</f>
        <v>6</v>
      </c>
      <c r="AD55">
        <f t="shared" si="111"/>
        <v>52</v>
      </c>
      <c r="AF55" s="3">
        <v>41.531019999999998</v>
      </c>
      <c r="AG55" s="3">
        <v>37.105849999999997</v>
      </c>
      <c r="AH55" s="3">
        <v>7.9024000000000001</v>
      </c>
      <c r="AI55" s="5">
        <f t="shared" si="148"/>
        <v>4.1848063497000041</v>
      </c>
      <c r="AJ55" s="3">
        <f t="shared" si="149"/>
        <v>1.7245887276000018</v>
      </c>
      <c r="AL55">
        <f t="shared" si="118"/>
        <v>0.53101999999999805</v>
      </c>
      <c r="AM55">
        <f t="shared" si="119"/>
        <v>0.10584999999999667</v>
      </c>
      <c r="AN55">
        <f t="shared" si="120"/>
        <v>1.9024000000000001</v>
      </c>
      <c r="AP55" t="str">
        <f t="shared" si="121"/>
        <v/>
      </c>
      <c r="AQ55" t="str">
        <f t="shared" si="122"/>
        <v/>
      </c>
      <c r="AR55" t="str">
        <f t="shared" si="123"/>
        <v/>
      </c>
      <c r="AT55" t="str">
        <f t="shared" si="124"/>
        <v/>
      </c>
      <c r="AU55" t="str">
        <f t="shared" si="125"/>
        <v/>
      </c>
      <c r="AV55" t="str">
        <f t="shared" si="126"/>
        <v/>
      </c>
      <c r="AX55" t="str">
        <f t="shared" si="127"/>
        <v/>
      </c>
      <c r="AY55" t="str">
        <f t="shared" si="128"/>
        <v/>
      </c>
      <c r="AZ55" t="str">
        <f t="shared" si="129"/>
        <v/>
      </c>
      <c r="BC55" s="1">
        <f t="shared" si="133"/>
        <v>42032</v>
      </c>
      <c r="BD55">
        <f t="shared" si="134"/>
        <v>1682</v>
      </c>
      <c r="BE55">
        <f t="shared" si="135"/>
        <v>41.828401818181817</v>
      </c>
      <c r="BF55">
        <f t="shared" si="136"/>
        <v>38.370295454545456</v>
      </c>
      <c r="BG55">
        <f t="shared" si="137"/>
        <v>5.5798372727272731</v>
      </c>
      <c r="BH55">
        <f t="shared" si="138"/>
        <v>2.0499200000000002</v>
      </c>
      <c r="BJ55" s="1">
        <f t="shared" si="161"/>
        <v>42032</v>
      </c>
      <c r="BK55">
        <f t="shared" si="162"/>
        <v>1682</v>
      </c>
      <c r="BL55">
        <f t="shared" si="163"/>
        <v>4.97424</v>
      </c>
      <c r="BO55" s="3">
        <v>41.686320000000002</v>
      </c>
      <c r="BP55" s="3">
        <v>37.588090000000001</v>
      </c>
      <c r="BQ55" s="3">
        <v>7.4857300000000002</v>
      </c>
      <c r="BR55" s="3">
        <v>1.87164</v>
      </c>
      <c r="BS55" s="3">
        <v>4.5537799999999997</v>
      </c>
      <c r="BU55">
        <f t="shared" si="164"/>
        <v>21.848812428003789</v>
      </c>
      <c r="BV55">
        <f t="shared" si="165"/>
        <v>26.878692743630001</v>
      </c>
      <c r="BX55">
        <f t="shared" si="166"/>
        <v>46.214615283697114</v>
      </c>
      <c r="BY55">
        <f t="shared" si="167"/>
        <v>43.158857655404503</v>
      </c>
      <c r="CA55" s="1">
        <f t="shared" si="168"/>
        <v>42032</v>
      </c>
      <c r="CB55">
        <f t="shared" si="169"/>
        <v>51.709543966348257</v>
      </c>
      <c r="CC55">
        <f t="shared" si="170"/>
        <v>48.290456033651743</v>
      </c>
    </row>
    <row r="56" spans="1:81" x14ac:dyDescent="0.25">
      <c r="A56" s="1">
        <v>42033</v>
      </c>
      <c r="B56" t="s">
        <v>6</v>
      </c>
      <c r="C56">
        <v>1560</v>
      </c>
      <c r="D56">
        <f t="shared" si="39"/>
        <v>0.41</v>
      </c>
      <c r="E56">
        <v>41.5</v>
      </c>
      <c r="F56">
        <v>37.200000000000003</v>
      </c>
      <c r="G56">
        <v>7.5</v>
      </c>
      <c r="H56">
        <v>4.4000000000000004</v>
      </c>
      <c r="J56">
        <v>52</v>
      </c>
      <c r="M56" s="1">
        <f t="shared" si="158"/>
        <v>42033</v>
      </c>
      <c r="N56">
        <f t="shared" si="159"/>
        <v>639.59999999999991</v>
      </c>
      <c r="O56">
        <f t="shared" si="160"/>
        <v>0.31884057971014501</v>
      </c>
      <c r="P56" s="3">
        <v>0.30929000000000001</v>
      </c>
      <c r="Q56" s="5">
        <f>P56</f>
        <v>0.30929000000000001</v>
      </c>
      <c r="R56" s="3"/>
      <c r="S56" s="2" t="str">
        <f t="shared" si="145"/>
        <v/>
      </c>
      <c r="T56" t="str">
        <f t="shared" si="146"/>
        <v/>
      </c>
      <c r="U56" t="str">
        <f t="shared" si="147"/>
        <v/>
      </c>
      <c r="V56" s="3"/>
      <c r="W56" s="5">
        <v>0.12812000000000001</v>
      </c>
      <c r="Y56" s="1">
        <f t="shared" ref="Y56" si="176">A56</f>
        <v>42033</v>
      </c>
      <c r="Z56">
        <f t="shared" ref="Z56" si="177">C56*D56</f>
        <v>639.59999999999991</v>
      </c>
      <c r="AA56">
        <f t="shared" ref="AA56" si="178">E56</f>
        <v>41.5</v>
      </c>
      <c r="AB56">
        <f t="shared" ref="AB56" si="179">F56</f>
        <v>37.200000000000003</v>
      </c>
      <c r="AC56">
        <f t="shared" ref="AC56" si="180">G56</f>
        <v>7.5</v>
      </c>
      <c r="AD56">
        <f t="shared" ref="AD56" si="181">J56</f>
        <v>52</v>
      </c>
      <c r="AF56" s="3">
        <v>41.580570000000002</v>
      </c>
      <c r="AG56" s="3">
        <v>37.091520000000003</v>
      </c>
      <c r="AH56" s="3">
        <v>7.9057500000000003</v>
      </c>
      <c r="AI56" s="5">
        <f t="shared" si="148"/>
        <v>4.1513398664000016</v>
      </c>
      <c r="AJ56" s="3">
        <f t="shared" si="149"/>
        <v>1.7196471392000008</v>
      </c>
      <c r="AL56" t="str">
        <f t="shared" si="118"/>
        <v/>
      </c>
      <c r="AM56" t="str">
        <f t="shared" si="119"/>
        <v/>
      </c>
      <c r="AN56" t="str">
        <f t="shared" si="120"/>
        <v/>
      </c>
      <c r="AP56">
        <f t="shared" si="121"/>
        <v>8.0570000000001585E-2</v>
      </c>
      <c r="AQ56">
        <f t="shared" si="122"/>
        <v>-0.10848000000000013</v>
      </c>
      <c r="AR56">
        <f t="shared" si="123"/>
        <v>0.40575000000000028</v>
      </c>
      <c r="AT56" t="str">
        <f t="shared" si="124"/>
        <v/>
      </c>
      <c r="AU56" t="str">
        <f t="shared" si="125"/>
        <v/>
      </c>
      <c r="AV56" t="str">
        <f t="shared" si="126"/>
        <v/>
      </c>
      <c r="AX56" t="str">
        <f t="shared" si="127"/>
        <v/>
      </c>
      <c r="AY56" t="str">
        <f t="shared" si="128"/>
        <v/>
      </c>
      <c r="AZ56" t="str">
        <f t="shared" si="129"/>
        <v/>
      </c>
      <c r="BC56" s="1">
        <f t="shared" si="133"/>
        <v>42033</v>
      </c>
      <c r="BD56">
        <f t="shared" si="134"/>
        <v>639.59999999999991</v>
      </c>
      <c r="BE56">
        <f t="shared" si="135"/>
        <v>41.29126909090909</v>
      </c>
      <c r="BF56">
        <f t="shared" si="136"/>
        <v>37.002054545454548</v>
      </c>
      <c r="BG56">
        <f t="shared" si="137"/>
        <v>7.945286363636364</v>
      </c>
      <c r="BH56">
        <f t="shared" si="138"/>
        <v>1.7680559999999998</v>
      </c>
      <c r="BJ56" s="1">
        <f t="shared" si="161"/>
        <v>42033</v>
      </c>
      <c r="BK56">
        <f t="shared" si="162"/>
        <v>639.59999999999991</v>
      </c>
      <c r="BL56">
        <f t="shared" si="163"/>
        <v>4.2682019999999996</v>
      </c>
      <c r="BO56" s="3">
        <v>41.736460000000001</v>
      </c>
      <c r="BP56" s="3">
        <v>37.590330000000002</v>
      </c>
      <c r="BQ56" s="3">
        <v>7.4859900000000001</v>
      </c>
      <c r="BR56" s="3">
        <v>1.87721</v>
      </c>
      <c r="BS56" s="3">
        <v>4.5453200000000002</v>
      </c>
      <c r="BU56">
        <f t="shared" si="164"/>
        <v>21.842534319294685</v>
      </c>
      <c r="BV56">
        <f t="shared" si="165"/>
        <v>26.904402853199699</v>
      </c>
      <c r="BX56">
        <f t="shared" si="166"/>
        <v>46.252012989149861</v>
      </c>
      <c r="BY56">
        <f t="shared" si="167"/>
        <v>43.152333701087969</v>
      </c>
      <c r="CA56" s="1">
        <f t="shared" si="168"/>
        <v>42033</v>
      </c>
      <c r="CB56">
        <f t="shared" si="169"/>
        <v>51.733517106724932</v>
      </c>
      <c r="CC56">
        <f t="shared" si="170"/>
        <v>48.266482893275061</v>
      </c>
    </row>
    <row r="57" spans="1:81" x14ac:dyDescent="0.25">
      <c r="A57" s="1"/>
      <c r="M57" s="1"/>
      <c r="P57" s="3"/>
      <c r="Q57" s="3"/>
      <c r="R57" s="3"/>
      <c r="S57" s="2"/>
      <c r="V57" s="3"/>
      <c r="W57" s="9"/>
      <c r="X57" s="3"/>
      <c r="Y57" s="1"/>
      <c r="AF57" s="3"/>
      <c r="AG57" s="3"/>
      <c r="AH57" s="3"/>
      <c r="AI57" s="3"/>
      <c r="BC57" s="1"/>
    </row>
    <row r="58" spans="1:81" x14ac:dyDescent="0.25">
      <c r="A58" s="1"/>
      <c r="M58" s="1"/>
      <c r="P58" s="3"/>
      <c r="Q58" s="3"/>
      <c r="R58" s="3"/>
      <c r="S58" s="2"/>
      <c r="V58" s="3"/>
      <c r="W58" s="9"/>
      <c r="X58" s="3"/>
      <c r="Y58" s="1"/>
      <c r="AF58" s="3"/>
      <c r="AG58" s="3"/>
      <c r="AH58" s="3"/>
      <c r="AI58" s="3"/>
      <c r="AL58">
        <f>AVERAGE(AL3:AL56)</f>
        <v>0.82840181818181824</v>
      </c>
      <c r="AM58">
        <f>AVERAGE(AM3:AM56)</f>
        <v>1.370295454545454</v>
      </c>
      <c r="AN58">
        <f>AVERAGE(AN3:AN56)</f>
        <v>-0.42016272727272719</v>
      </c>
      <c r="AP58">
        <f>AVERAGE(AP3:AP56)</f>
        <v>-0.20873090909090858</v>
      </c>
      <c r="AQ58">
        <f>AVERAGE(AQ3:AQ56)</f>
        <v>-0.19794545454545442</v>
      </c>
      <c r="AR58">
        <f>AVERAGE(AR3:AR56)</f>
        <v>0.44528636363636359</v>
      </c>
      <c r="AT58">
        <f>AVERAGE(AT3:AT56)</f>
        <v>-0.29263181818181877</v>
      </c>
      <c r="AU58">
        <f>AVERAGE(AU3:AU56)</f>
        <v>-0.38529272727272645</v>
      </c>
      <c r="AV58">
        <f>AVERAGE(AV3:AV56)</f>
        <v>-0.40892636363636359</v>
      </c>
      <c r="AX58">
        <f>AVERAGE(AX3:AX56)</f>
        <v>0.29810200000000081</v>
      </c>
      <c r="AY58">
        <f>AVERAGE(AY3:AY56)</f>
        <v>-0.58758700000000064</v>
      </c>
      <c r="AZ58">
        <f>AVERAGE(AZ3:AZ56)</f>
        <v>0.21795500000000007</v>
      </c>
      <c r="BC58" s="1"/>
    </row>
    <row r="59" spans="1:81" x14ac:dyDescent="0.25">
      <c r="A59" s="1"/>
      <c r="V59" s="3"/>
      <c r="AJ59" s="3"/>
    </row>
    <row r="60" spans="1:81" ht="18.75" x14ac:dyDescent="0.3">
      <c r="A60" s="1"/>
      <c r="AJ60" s="3"/>
      <c r="BO60" s="44">
        <f>BO56/100</f>
        <v>0.41736460000000003</v>
      </c>
      <c r="BP60" s="44">
        <f>BP56/100</f>
        <v>0.3759033</v>
      </c>
      <c r="BQ60" s="44">
        <f>BQ56/100</f>
        <v>7.4859900000000007E-2</v>
      </c>
      <c r="BR60" s="44">
        <f>BR56/100</f>
        <v>1.87721E-2</v>
      </c>
      <c r="BS60" s="44">
        <f>BS56/100</f>
        <v>4.5453199999999999E-2</v>
      </c>
      <c r="BW60" s="44"/>
    </row>
    <row r="61" spans="1:81" x14ac:dyDescent="0.25">
      <c r="A61" s="1"/>
      <c r="AJ61" s="3"/>
    </row>
    <row r="63" spans="1:81" ht="15.75" thickBot="1" x14ac:dyDescent="0.3"/>
    <row r="64" spans="1:81" x14ac:dyDescent="0.25">
      <c r="A64" s="1">
        <v>41092</v>
      </c>
      <c r="B64" s="1" t="s">
        <v>6</v>
      </c>
      <c r="C64">
        <v>1100</v>
      </c>
      <c r="D64">
        <v>0.26</v>
      </c>
      <c r="E64">
        <v>56.499999999999993</v>
      </c>
      <c r="F64">
        <v>21.8</v>
      </c>
      <c r="G64">
        <v>9.4</v>
      </c>
      <c r="I64">
        <v>7.4</v>
      </c>
      <c r="J64">
        <f>E64+((100-(E64+F64))*K64)</f>
        <v>68.488598999999994</v>
      </c>
      <c r="K64" s="7">
        <v>0.55247000000000002</v>
      </c>
      <c r="L64" s="7"/>
      <c r="M64" s="1" t="str">
        <f>IF(H64&lt;&gt;"",A64,"")</f>
        <v/>
      </c>
      <c r="N64" t="str">
        <f>IF(H64&lt;&gt;"",C64*D64,"")</f>
        <v/>
      </c>
      <c r="O64" t="str">
        <f>IF(H64&lt;&gt;"",H64/(100-SUM(E64:G64)),"")</f>
        <v/>
      </c>
      <c r="S64" s="2">
        <f>IF(I64&lt;&gt;"",A64,"")</f>
        <v>41092</v>
      </c>
      <c r="T64">
        <f>IF(I64&lt;&gt;"",C64*D64,"")</f>
        <v>286</v>
      </c>
      <c r="U64">
        <f>IF(I64&lt;&gt;"",I64/(100-SUM(E64:G64)),"")</f>
        <v>0.60162601626016277</v>
      </c>
      <c r="W64" s="5">
        <f>V64</f>
        <v>0</v>
      </c>
      <c r="Y64" s="1">
        <f>A64</f>
        <v>41092</v>
      </c>
      <c r="Z64">
        <f>C64*D64</f>
        <v>286</v>
      </c>
      <c r="AA64">
        <f>E64</f>
        <v>56.499999999999993</v>
      </c>
      <c r="AB64">
        <f>F64</f>
        <v>21.8</v>
      </c>
      <c r="AC64">
        <f>G64</f>
        <v>9.4</v>
      </c>
      <c r="AD64">
        <f>J64</f>
        <v>68.488598999999994</v>
      </c>
      <c r="AF64" s="5"/>
      <c r="AG64" s="5"/>
      <c r="AH64" s="5"/>
      <c r="AJ64" s="5"/>
      <c r="AL64" t="str">
        <f>IF($B64="Newspoll",IF(AA64="","",AF64-AA64),"")</f>
        <v/>
      </c>
      <c r="AM64" t="str">
        <f>IF($B64="Newspoll",IF(AB64="","",AG64-AB64),"")</f>
        <v/>
      </c>
      <c r="AN64" t="str">
        <f>IF($B64="Newspoll",IF(AC64="","",AH64-AC64),"")</f>
        <v/>
      </c>
      <c r="AP64">
        <f>IF($B64="ReachTEL",IF(AA64="","",AF64-AA64),"")</f>
        <v>-56.499999999999993</v>
      </c>
      <c r="AQ64">
        <f>IF($B64="ReachTEL",IF(AB64="","",AG64-AB64),"")</f>
        <v>-21.8</v>
      </c>
      <c r="AR64">
        <f>IF($B64="ReachTEL",IF(AC64="","",AH64-AC64),"")</f>
        <v>-9.4</v>
      </c>
      <c r="AT64" t="str">
        <f>IF($B64="Galaxy",IF(AA64="","",AF64-AA64),"")</f>
        <v/>
      </c>
      <c r="AU64" t="str">
        <f>IF($B64="Galaxy",IF(AB64="","",AG64-AB64),"")</f>
        <v/>
      </c>
      <c r="AV64" t="str">
        <f>IF($B64="Galaxy",IF(AC64="","",AH64-AC64),"")</f>
        <v/>
      </c>
      <c r="AX64" t="str">
        <f>IF($B64="Essential",IF(AA64="","",AF64-AA64),"")</f>
        <v/>
      </c>
      <c r="AY64" t="str">
        <f>IF($B64="Essential",IF(AB64="","",AG64-AB64),"")</f>
        <v/>
      </c>
      <c r="AZ64" t="str">
        <f>IF($B64="Essential",IF(AC64="","",AH64-AC64),"")</f>
        <v/>
      </c>
      <c r="BC64" s="1">
        <f>A64</f>
        <v>41092</v>
      </c>
      <c r="BD64">
        <f>C64*D64</f>
        <v>286</v>
      </c>
      <c r="BE64">
        <f>IF($B64="Newspoll",AA64+AL$58,IF($B64="ReachTEL",AA64+AP$58,IF($B64="Galaxy",AA64+AT$58,IF($B64="Essential",AA64+AX$58,"X"))))</f>
        <v>56.291269090909083</v>
      </c>
      <c r="BF64">
        <f>IF($B64="Newspoll",AB64+AM$58,IF($B64="ReachTEL",AB64+AQ$58,IF($B64="Galaxy",AB64+AU$58,IF($B64="Essential",AB64+AY$58,"X"))))</f>
        <v>21.602054545454546</v>
      </c>
      <c r="BG64">
        <f>IF($B64="Newspoll",AC64+AN$58,IF($B64="ReachTEL",AC64+AR$58,IF($B64="Galaxy",AC64+AV$58,IF($B64="Essential",AC64+AZ$58,"X"))))</f>
        <v>9.8452863636363634</v>
      </c>
      <c r="BK64" t="s">
        <v>160</v>
      </c>
      <c r="BL64" s="12">
        <v>41091</v>
      </c>
    </row>
    <row r="65" spans="1:64" x14ac:dyDescent="0.25">
      <c r="A65" s="1"/>
      <c r="BK65" t="s">
        <v>161</v>
      </c>
      <c r="BL65">
        <f>BL64-21916</f>
        <v>19175</v>
      </c>
    </row>
    <row r="68" spans="1:64" x14ac:dyDescent="0.25">
      <c r="BB68" s="12"/>
    </row>
  </sheetData>
  <sortState ref="A3:J78">
    <sortCondition ref="A2"/>
  </sortState>
  <mergeCells count="8">
    <mergeCell ref="AL1:AN1"/>
    <mergeCell ref="AP1:AR1"/>
    <mergeCell ref="AT1:AV1"/>
    <mergeCell ref="AX1:AZ1"/>
    <mergeCell ref="M1:Q1"/>
    <mergeCell ref="S1:W1"/>
    <mergeCell ref="Y1:AC1"/>
    <mergeCell ref="AF1:AJ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tabSelected="1" workbookViewId="0">
      <selection activeCell="E29" sqref="E29"/>
    </sheetView>
  </sheetViews>
  <sheetFormatPr defaultRowHeight="15" x14ac:dyDescent="0.25"/>
  <cols>
    <col min="2" max="2" width="16" customWidth="1"/>
    <col min="3" max="5" width="8.85546875" customWidth="1"/>
  </cols>
  <sheetData>
    <row r="1" spans="2:13" x14ac:dyDescent="0.25">
      <c r="B1" s="41"/>
      <c r="C1" s="42"/>
      <c r="D1" s="43"/>
      <c r="E1" s="43"/>
    </row>
    <row r="2" spans="2:13" ht="11.25" customHeight="1" x14ac:dyDescent="0.25">
      <c r="B2" s="14"/>
      <c r="C2" s="15"/>
      <c r="D2" s="68" t="s">
        <v>110</v>
      </c>
      <c r="E2" s="69"/>
    </row>
    <row r="3" spans="2:13" x14ac:dyDescent="0.25">
      <c r="B3" s="14"/>
      <c r="C3" s="16">
        <v>42033</v>
      </c>
      <c r="D3" s="16">
        <v>42024</v>
      </c>
      <c r="E3" s="17">
        <v>2012</v>
      </c>
    </row>
    <row r="4" spans="2:13" x14ac:dyDescent="0.25">
      <c r="B4" s="18" t="s">
        <v>116</v>
      </c>
      <c r="C4" s="19">
        <f>Input!BO60</f>
        <v>0.41736460000000003</v>
      </c>
      <c r="D4" s="20">
        <f t="shared" ref="D4:D9" si="0">C4-G4</f>
        <v>1.4854000000000811E-3</v>
      </c>
      <c r="E4" s="21">
        <f>C4-0.4966</f>
        <v>-7.9235399999999956E-2</v>
      </c>
      <c r="G4">
        <v>0.41587919999999995</v>
      </c>
      <c r="K4" s="3"/>
      <c r="L4" s="3"/>
      <c r="M4" s="3"/>
    </row>
    <row r="5" spans="2:13" x14ac:dyDescent="0.25">
      <c r="B5" s="22" t="s">
        <v>111</v>
      </c>
      <c r="C5" s="23">
        <f>Input!BP60</f>
        <v>0.3759033</v>
      </c>
      <c r="D5" s="20">
        <f t="shared" si="0"/>
        <v>6.5799999999999192E-4</v>
      </c>
      <c r="E5" s="21">
        <f>C5-0.2666</f>
        <v>0.10930329999999999</v>
      </c>
      <c r="G5">
        <v>0.3752453</v>
      </c>
    </row>
    <row r="6" spans="2:13" x14ac:dyDescent="0.25">
      <c r="B6" s="24" t="s">
        <v>112</v>
      </c>
      <c r="C6" s="25">
        <f>Input!BQ60</f>
        <v>7.4859900000000007E-2</v>
      </c>
      <c r="D6" s="20">
        <f t="shared" si="0"/>
        <v>-2.6507999999999948E-3</v>
      </c>
      <c r="E6" s="21">
        <f>C6-0.0753</f>
        <v>-4.4009999999999883E-4</v>
      </c>
      <c r="G6">
        <v>7.7510700000000002E-2</v>
      </c>
    </row>
    <row r="7" spans="2:13" x14ac:dyDescent="0.25">
      <c r="B7" s="26" t="s">
        <v>113</v>
      </c>
      <c r="C7" s="27">
        <f>1-SUM(C4:C6)</f>
        <v>0.13187219999999999</v>
      </c>
      <c r="D7" s="20">
        <f t="shared" si="0"/>
        <v>5.074000000000467E-4</v>
      </c>
      <c r="E7" s="21">
        <f>C7-0.1615</f>
        <v>-2.962780000000001E-2</v>
      </c>
      <c r="G7">
        <v>0.13136479999999995</v>
      </c>
    </row>
    <row r="8" spans="2:13" x14ac:dyDescent="0.25">
      <c r="B8" s="34" t="s">
        <v>0</v>
      </c>
      <c r="C8" s="62">
        <f>Seats!AR94</f>
        <v>0.517232246756401</v>
      </c>
      <c r="D8" s="63">
        <f t="shared" si="0"/>
        <v>9.8117167693045904E-4</v>
      </c>
      <c r="E8" s="64">
        <f>C8-0.628</f>
        <v>-0.110767753243599</v>
      </c>
      <c r="G8">
        <v>0.51625107507947054</v>
      </c>
    </row>
    <row r="9" spans="2:13" x14ac:dyDescent="0.25">
      <c r="B9" s="28" t="s">
        <v>114</v>
      </c>
      <c r="C9" s="29">
        <f>1-C8</f>
        <v>0.482767753243599</v>
      </c>
      <c r="D9" s="30">
        <f t="shared" si="0"/>
        <v>-9.8117167693045904E-4</v>
      </c>
      <c r="E9" s="31">
        <f>0-E8</f>
        <v>0.110767753243599</v>
      </c>
      <c r="G9">
        <v>0.48374892492052946</v>
      </c>
    </row>
    <row r="10" spans="2:13" x14ac:dyDescent="0.25">
      <c r="B10" s="14"/>
      <c r="C10" s="32"/>
      <c r="D10" s="32"/>
      <c r="E10" s="33"/>
    </row>
    <row r="11" spans="2:13" x14ac:dyDescent="0.25">
      <c r="B11" s="14"/>
      <c r="C11" s="15" t="s">
        <v>115</v>
      </c>
      <c r="D11" s="16">
        <v>42024</v>
      </c>
      <c r="E11" s="17">
        <v>2012</v>
      </c>
    </row>
    <row r="12" spans="2:13" x14ac:dyDescent="0.25">
      <c r="B12" s="34" t="s">
        <v>117</v>
      </c>
      <c r="C12" s="35">
        <f>ROUND(Seats!AC94,0)</f>
        <v>52</v>
      </c>
      <c r="D12" s="65">
        <f>C12-G12</f>
        <v>0</v>
      </c>
      <c r="E12" s="66">
        <f>C12-78</f>
        <v>-26</v>
      </c>
      <c r="G12">
        <v>52</v>
      </c>
    </row>
    <row r="13" spans="2:13" x14ac:dyDescent="0.25">
      <c r="B13" s="28" t="s">
        <v>114</v>
      </c>
      <c r="C13" s="36">
        <f>89-C12-C14</f>
        <v>34</v>
      </c>
      <c r="D13" s="60">
        <f>C13-G13</f>
        <v>0</v>
      </c>
      <c r="E13" s="61">
        <f>C13-7</f>
        <v>27</v>
      </c>
      <c r="G13">
        <v>34</v>
      </c>
    </row>
    <row r="14" spans="2:13" x14ac:dyDescent="0.25">
      <c r="B14" s="37" t="s">
        <v>113</v>
      </c>
      <c r="C14" s="38">
        <v>3</v>
      </c>
      <c r="D14" s="39"/>
      <c r="E14" s="40">
        <f>C14-4</f>
        <v>-1</v>
      </c>
    </row>
    <row r="15" spans="2:13" x14ac:dyDescent="0.25">
      <c r="B15" s="45"/>
      <c r="C15" s="45"/>
      <c r="D15" s="45"/>
      <c r="E15" s="45"/>
    </row>
    <row r="16" spans="2:13" x14ac:dyDescent="0.25">
      <c r="B16" s="58"/>
      <c r="C16" s="58"/>
      <c r="D16" s="58"/>
      <c r="E16" s="58"/>
    </row>
  </sheetData>
  <mergeCells count="1">
    <mergeCell ref="D2:E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4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RowHeight="15" x14ac:dyDescent="0.25"/>
  <cols>
    <col min="1" max="1" width="25.140625" bestFit="1" customWidth="1"/>
    <col min="2" max="3" width="9.140625" customWidth="1"/>
    <col min="8" max="8" width="9.140625" customWidth="1"/>
    <col min="22" max="22" width="12" bestFit="1" customWidth="1"/>
  </cols>
  <sheetData>
    <row r="1" spans="1:45" x14ac:dyDescent="0.25">
      <c r="C1" s="67" t="s">
        <v>128</v>
      </c>
      <c r="D1" s="67"/>
      <c r="E1" s="67"/>
      <c r="F1" s="67"/>
      <c r="H1" s="67" t="s">
        <v>132</v>
      </c>
      <c r="I1" s="67"/>
      <c r="J1" s="67"/>
      <c r="K1" s="67"/>
      <c r="AC1" t="s">
        <v>154</v>
      </c>
      <c r="AD1" s="46">
        <f>SQRT(Output!E9*Output!E9)</f>
        <v>0.110767753243599</v>
      </c>
      <c r="AE1" s="56">
        <f>(0.131*SQRT(AD1*AD1))+0.019</f>
        <v>3.3510575674911468E-2</v>
      </c>
      <c r="AF1" s="56"/>
      <c r="AG1" s="67" t="s">
        <v>118</v>
      </c>
      <c r="AH1" s="67"/>
      <c r="AI1" s="67"/>
      <c r="AJ1" s="67"/>
      <c r="AL1" s="67" t="s">
        <v>119</v>
      </c>
      <c r="AM1" s="67"/>
    </row>
    <row r="2" spans="1:45" x14ac:dyDescent="0.25">
      <c r="C2" s="11" t="s">
        <v>0</v>
      </c>
      <c r="D2" s="11" t="s">
        <v>1</v>
      </c>
      <c r="E2" s="11" t="s">
        <v>2</v>
      </c>
      <c r="F2" s="11" t="s">
        <v>28</v>
      </c>
      <c r="H2" s="11" t="s">
        <v>0</v>
      </c>
      <c r="I2" s="11" t="s">
        <v>1</v>
      </c>
      <c r="J2" s="11" t="s">
        <v>2</v>
      </c>
      <c r="K2" s="11" t="s">
        <v>28</v>
      </c>
      <c r="M2" s="11" t="s">
        <v>131</v>
      </c>
      <c r="N2" s="11" t="s">
        <v>130</v>
      </c>
      <c r="P2" s="11" t="s">
        <v>133</v>
      </c>
      <c r="Q2" s="11" t="s">
        <v>134</v>
      </c>
      <c r="S2" s="11" t="s">
        <v>133</v>
      </c>
      <c r="T2" s="11" t="s">
        <v>134</v>
      </c>
      <c r="W2" s="52" t="s">
        <v>147</v>
      </c>
      <c r="X2" s="52" t="s">
        <v>148</v>
      </c>
      <c r="Y2" s="52" t="s">
        <v>149</v>
      </c>
      <c r="Z2" s="52" t="s">
        <v>150</v>
      </c>
      <c r="AA2" s="52" t="s">
        <v>152</v>
      </c>
      <c r="AG2" t="s">
        <v>0</v>
      </c>
      <c r="AH2" t="s">
        <v>1</v>
      </c>
      <c r="AI2" t="s">
        <v>2</v>
      </c>
      <c r="AJ2" t="s">
        <v>28</v>
      </c>
      <c r="AL2" t="s">
        <v>0</v>
      </c>
      <c r="AM2" t="s">
        <v>1</v>
      </c>
      <c r="AQ2" t="s">
        <v>162</v>
      </c>
      <c r="AR2" t="s">
        <v>0</v>
      </c>
      <c r="AS2" t="s">
        <v>1</v>
      </c>
    </row>
    <row r="3" spans="1:45" x14ac:dyDescent="0.25">
      <c r="A3" s="13" t="s">
        <v>30</v>
      </c>
      <c r="B3" s="47" t="s">
        <v>0</v>
      </c>
      <c r="C3" s="48">
        <f>Output!E$4+(AL3*-0.3)+AG3</f>
        <v>0.41685782169457641</v>
      </c>
      <c r="D3" s="49">
        <f>Output!E$5+(AM3*-0.3)+AH3</f>
        <v>0.38780866865783553</v>
      </c>
      <c r="E3" s="49">
        <f>Output!E$6+AI3</f>
        <v>5.3510698014782018E-2</v>
      </c>
      <c r="F3" s="49">
        <f>Output!E$7+AJ3</f>
        <v>0.13693770148177239</v>
      </c>
      <c r="H3" s="48">
        <f>IF($F3&lt;0,C3/SUM($C3:$E3),C3/SUM($C3:$F3))</f>
        <v>0.41890421492722818</v>
      </c>
      <c r="I3" s="48">
        <f>IF($F3&lt;0,D3/SUM($C3:$E3),D3/SUM($C3:$F3))</f>
        <v>0.38971245693720374</v>
      </c>
      <c r="J3" s="48">
        <f>IF($F3&lt;0,E3/SUM($C3:$E3),E3/SUM($C3:$F3))</f>
        <v>5.3773386933144582E-2</v>
      </c>
      <c r="K3" s="48">
        <f>IF($F3&lt;0,0,F3/SUM($C3:$F3))</f>
        <v>0.13760994120242351</v>
      </c>
      <c r="M3" s="50">
        <f>0.295+(($I3/($H3+$I3))*-0.089)+((J3/(J3+K3))*-0.095)</f>
        <v>0.22541413318988451</v>
      </c>
      <c r="N3" s="50">
        <f>0.047+(($I3/($H3+$I3))*0.208)+((J3/(J3+K3))*0.341)</f>
        <v>0.24305701673967248</v>
      </c>
      <c r="P3" s="49">
        <f>H3+(($J3+$K3)*M3)</f>
        <v>0.46204472194590251</v>
      </c>
      <c r="Q3" s="49">
        <f>I3+(($J3+$K3)*N3)</f>
        <v>0.43622951772754476</v>
      </c>
      <c r="S3" s="49">
        <f>P3/($P3+$Q3)</f>
        <v>0.51436933348313674</v>
      </c>
      <c r="T3" s="49">
        <f>Q3/($P3+$Q3)</f>
        <v>0.48563066651686321</v>
      </c>
      <c r="V3" t="s">
        <v>146</v>
      </c>
      <c r="W3" s="51">
        <f>IF(V3="ALPVAC",1,IF(V3="LNPVAC",1,0))</f>
        <v>0</v>
      </c>
      <c r="X3" s="51">
        <f t="shared" ref="X3:X17" si="0">IF(V3="ALPSOPWIN",1,IF(V3="LNPSOPWIN",1,0))</f>
        <v>1</v>
      </c>
      <c r="Y3" s="51">
        <f t="shared" ref="Y3:Y17" si="1">IF(V3="ALPSOPWIN",1,IF(V3="LNPSOPWIN",1,0))</f>
        <v>1</v>
      </c>
      <c r="Z3" s="51">
        <f t="shared" ref="Z3:Z34" si="2">IF(Y3=1,IF(AO3="SEQ",0,1),0)</f>
        <v>0</v>
      </c>
      <c r="AA3" s="53">
        <f>IF(B3="LNP",(-0.01*W3)+(0.009*X3)+(0.005*Y3)+(0.008*Z3),IF(B3="ALP",0-((-0.01*W3)+(0.009*X3)+(0.005*Y3)+(0.008*Z3)),""))</f>
        <v>1.3999999999999999E-2</v>
      </c>
      <c r="AB3" s="54">
        <f>S3+AA3-AA$93</f>
        <v>0.52283000764044008</v>
      </c>
      <c r="AC3" s="57">
        <f>(1-(NORMDIST(0.5,AB3,AE$1,1)))</f>
        <v>0.75215210186592074</v>
      </c>
      <c r="AE3" s="46"/>
      <c r="AF3" s="46"/>
      <c r="AG3">
        <v>0.49587603099225191</v>
      </c>
      <c r="AH3">
        <v>0.28360766951119365</v>
      </c>
      <c r="AI3">
        <v>5.3950798014782017E-2</v>
      </c>
      <c r="AJ3">
        <f>1-SUM(AG3:AI3)</f>
        <v>0.1665655014817724</v>
      </c>
      <c r="AL3">
        <v>-7.2396900774807094E-4</v>
      </c>
      <c r="AM3">
        <v>1.7007669511193646E-2</v>
      </c>
      <c r="AO3" t="s">
        <v>151</v>
      </c>
      <c r="AQ3">
        <v>28007</v>
      </c>
      <c r="AR3">
        <f>P3*$AQ3</f>
        <v>12940.486527538891</v>
      </c>
      <c r="AS3">
        <f>Q3*$AQ3</f>
        <v>12217.480102995347</v>
      </c>
    </row>
    <row r="4" spans="1:45" x14ac:dyDescent="0.25">
      <c r="A4" s="13" t="s">
        <v>31</v>
      </c>
      <c r="B4" s="47" t="s">
        <v>0</v>
      </c>
      <c r="C4" s="48">
        <f>Output!E$4+(AL4*-0.3)+AG4</f>
        <v>0.42480315321672102</v>
      </c>
      <c r="D4" s="49">
        <f>Output!E$5+(AM4*-0.3)+AH4</f>
        <v>0.42623112093092197</v>
      </c>
      <c r="E4" s="49">
        <f>Output!E$6+AI4</f>
        <v>6.9119639104654615E-2</v>
      </c>
      <c r="F4" s="49">
        <f>Output!E$7+AJ4</f>
        <v>5.5089069255855411E-2</v>
      </c>
      <c r="H4" s="48">
        <f t="shared" ref="H4:H67" si="3">IF($F4&lt;0,C4/SUM($C4:$E4),C4/SUM($C4:$F4))</f>
        <v>0.43558698789526507</v>
      </c>
      <c r="I4" s="48">
        <f t="shared" ref="I4:I67" si="4">IF($F4&lt;0,D4/SUM($C4:$E4),D4/SUM($C4:$F4))</f>
        <v>0.43705120526448771</v>
      </c>
      <c r="J4" s="48">
        <f t="shared" ref="J4:J67" si="5">IF($F4&lt;0,E4/SUM($C4:$E4),E4/SUM($C4:$F4))</f>
        <v>7.0874274764726936E-2</v>
      </c>
      <c r="K4" s="48">
        <f t="shared" ref="K4:K67" si="6">IF($F4&lt;0,0,F4/SUM($C4:$F4))</f>
        <v>5.6487532075520333E-2</v>
      </c>
      <c r="M4" s="50">
        <f t="shared" ref="M4:M67" si="7">0.295+(($I4/($H4+$I4))*-0.089)+((J4/(J4+K4))*-0.095)</f>
        <v>0.19755975007818133</v>
      </c>
      <c r="N4" s="50">
        <f t="shared" ref="N4:N67" si="8">0.047+(($I4/($H4+$I4))*0.208)+((J4/(J4+K4))*0.341)</f>
        <v>0.34093412078029045</v>
      </c>
      <c r="P4" s="49">
        <f t="shared" ref="P4:P67" si="9">H4+(($J4+$K4)*M4)</f>
        <v>0.46074855462412995</v>
      </c>
      <c r="Q4" s="49">
        <f t="shared" ref="Q4:Q67" si="10">I4+(($J4+$K4)*N4)</f>
        <v>0.48047319090055662</v>
      </c>
      <c r="S4" s="49">
        <f t="shared" ref="S4:S67" si="11">P4/($P4+$Q4)</f>
        <v>0.48952179102840898</v>
      </c>
      <c r="T4" s="49">
        <f t="shared" ref="T4:T67" si="12">Q4/($P4+$Q4)</f>
        <v>0.51047820897159102</v>
      </c>
      <c r="V4" t="s">
        <v>146</v>
      </c>
      <c r="W4" s="51">
        <f t="shared" ref="W4:W67" si="13">IF(V4="ALPVAC",1,IF(V4="LNPVAC",1,0))</f>
        <v>0</v>
      </c>
      <c r="X4" s="51">
        <f t="shared" si="0"/>
        <v>1</v>
      </c>
      <c r="Y4" s="51">
        <f t="shared" si="1"/>
        <v>1</v>
      </c>
      <c r="Z4" s="51">
        <f t="shared" si="2"/>
        <v>0</v>
      </c>
      <c r="AA4" s="53">
        <f t="shared" ref="AA4:AA47" si="14">IF(B4="LNP",(-0.01*W4)+(0.009*X4)+(0.005*Y4)+(0.008*Z4),IF(B4="ALP",0-((-0.01*W4)+(0.009*X4)+(0.005*Y4)+(0.008*Z4)),""))</f>
        <v>1.3999999999999999E-2</v>
      </c>
      <c r="AB4" s="54">
        <f t="shared" ref="AB4:AB67" si="15">S4+AA4-AA$93</f>
        <v>0.49798246518571238</v>
      </c>
      <c r="AC4" s="57">
        <f t="shared" ref="AC4:AC67" si="16">(1-(NORMDIST(0.5,AB4,AE$1,1)))</f>
        <v>0.47599581805730518</v>
      </c>
      <c r="AE4" s="46"/>
      <c r="AF4" s="46"/>
      <c r="AG4">
        <v>0.50722650459531571</v>
      </c>
      <c r="AH4">
        <v>0.3384968870441743</v>
      </c>
      <c r="AI4">
        <v>6.9559739104654614E-2</v>
      </c>
      <c r="AJ4">
        <f t="shared" ref="AJ4:AJ67" si="17">1-SUM(AG4:AI4)</f>
        <v>8.471686925585542E-2</v>
      </c>
      <c r="AL4">
        <v>1.0626504595315722E-2</v>
      </c>
      <c r="AM4">
        <v>7.1896887044174296E-2</v>
      </c>
      <c r="AO4" t="s">
        <v>151</v>
      </c>
      <c r="AQ4">
        <v>26984</v>
      </c>
      <c r="AR4">
        <f t="shared" ref="AR4:AR67" si="18">P4*$AQ4</f>
        <v>12432.838997977522</v>
      </c>
      <c r="AS4">
        <f t="shared" ref="AS4:AS67" si="19">Q4*$AQ4</f>
        <v>12965.08858326062</v>
      </c>
    </row>
    <row r="5" spans="1:45" x14ac:dyDescent="0.25">
      <c r="A5" s="13" t="s">
        <v>32</v>
      </c>
      <c r="B5" s="47" t="s">
        <v>0</v>
      </c>
      <c r="C5" s="48">
        <f>Output!E$4+(AL5*-0.3)+AG5</f>
        <v>0.43238554646636373</v>
      </c>
      <c r="D5" s="49">
        <f>Output!E$5+(AM5*-0.3)+AH5</f>
        <v>0.44547800561704193</v>
      </c>
      <c r="E5" s="49">
        <f>Output!E$6+AI5</f>
        <v>9.129219712382472E-2</v>
      </c>
      <c r="F5" s="49">
        <f>Output!E$7+AJ5</f>
        <v>-5.4110286715469968E-3</v>
      </c>
      <c r="H5" s="48">
        <f t="shared" si="3"/>
        <v>0.44614660421718094</v>
      </c>
      <c r="I5" s="48">
        <f t="shared" si="4"/>
        <v>0.4596557426207738</v>
      </c>
      <c r="J5" s="48">
        <f t="shared" si="5"/>
        <v>9.4197653162045161E-2</v>
      </c>
      <c r="K5" s="48">
        <f t="shared" si="6"/>
        <v>0</v>
      </c>
      <c r="M5" s="50">
        <f t="shared" si="7"/>
        <v>0.15483632689177892</v>
      </c>
      <c r="N5" s="50">
        <f t="shared" si="8"/>
        <v>0.49355105625292117</v>
      </c>
      <c r="P5" s="49">
        <f t="shared" si="9"/>
        <v>0.46073182283461778</v>
      </c>
      <c r="Q5" s="49">
        <f t="shared" si="10"/>
        <v>0.50614709383544754</v>
      </c>
      <c r="S5" s="49">
        <f t="shared" si="11"/>
        <v>0.47651449927295958</v>
      </c>
      <c r="T5" s="49">
        <f t="shared" si="12"/>
        <v>0.52348550072704048</v>
      </c>
      <c r="V5" t="s">
        <v>146</v>
      </c>
      <c r="W5" s="51">
        <f t="shared" si="13"/>
        <v>0</v>
      </c>
      <c r="X5" s="51">
        <f t="shared" si="0"/>
        <v>1</v>
      </c>
      <c r="Y5" s="51">
        <f t="shared" si="1"/>
        <v>1</v>
      </c>
      <c r="Z5" s="51">
        <f t="shared" si="2"/>
        <v>0</v>
      </c>
      <c r="AA5" s="53">
        <f t="shared" si="14"/>
        <v>1.3999999999999999E-2</v>
      </c>
      <c r="AB5" s="54">
        <f t="shared" si="15"/>
        <v>0.48497517343026297</v>
      </c>
      <c r="AC5" s="57">
        <f t="shared" si="16"/>
        <v>0.32694643481399399</v>
      </c>
      <c r="AE5" s="46"/>
      <c r="AF5" s="46"/>
      <c r="AG5">
        <v>0.51805849495194811</v>
      </c>
      <c r="AH5">
        <v>0.36599243659577418</v>
      </c>
      <c r="AI5">
        <v>9.1732297123824719E-2</v>
      </c>
      <c r="AJ5">
        <f t="shared" si="17"/>
        <v>2.4216771328453013E-2</v>
      </c>
      <c r="AL5">
        <v>2.1458494951948126E-2</v>
      </c>
      <c r="AM5">
        <v>9.9392436595774181E-2</v>
      </c>
      <c r="AO5" t="s">
        <v>151</v>
      </c>
      <c r="AQ5">
        <v>28823</v>
      </c>
      <c r="AR5">
        <f t="shared" si="18"/>
        <v>13279.673329562189</v>
      </c>
      <c r="AS5">
        <f t="shared" si="19"/>
        <v>14588.677685619105</v>
      </c>
    </row>
    <row r="6" spans="1:45" x14ac:dyDescent="0.25">
      <c r="A6" s="13" t="s">
        <v>33</v>
      </c>
      <c r="B6" s="47" t="s">
        <v>0</v>
      </c>
      <c r="C6" s="48">
        <f>Output!E$4+(AL6*-0.3)+AG6</f>
        <v>0.52776518995327104</v>
      </c>
      <c r="D6" s="49">
        <f>Output!E$5+(AM6*-0.3)+AH6</f>
        <v>0.35408689228971962</v>
      </c>
      <c r="E6" s="49">
        <f>Output!E$6+AI6</f>
        <v>7.3851664018691587E-2</v>
      </c>
      <c r="F6" s="49">
        <f>Output!E$7+AJ6</f>
        <v>6.3316042056074939E-3</v>
      </c>
      <c r="H6" s="48">
        <f t="shared" si="3"/>
        <v>0.5485923045311375</v>
      </c>
      <c r="I6" s="48">
        <f t="shared" si="4"/>
        <v>0.36806016755801008</v>
      </c>
      <c r="J6" s="48">
        <f t="shared" si="5"/>
        <v>7.6766060605589589E-2</v>
      </c>
      <c r="K6" s="48">
        <f t="shared" si="6"/>
        <v>6.5814673052627861E-3</v>
      </c>
      <c r="M6" s="50">
        <f t="shared" si="7"/>
        <v>0.17176574530658362</v>
      </c>
      <c r="N6" s="50">
        <f t="shared" si="8"/>
        <v>0.44459071364591429</v>
      </c>
      <c r="P6" s="49">
        <f t="shared" si="9"/>
        <v>0.56290855478220636</v>
      </c>
      <c r="Q6" s="49">
        <f t="shared" si="10"/>
        <v>0.40511570447251871</v>
      </c>
      <c r="S6" s="49">
        <f t="shared" si="11"/>
        <v>0.58150252888867238</v>
      </c>
      <c r="T6" s="49">
        <f t="shared" si="12"/>
        <v>0.41849747111132773</v>
      </c>
      <c r="V6" t="s">
        <v>135</v>
      </c>
      <c r="W6" s="51">
        <f t="shared" si="13"/>
        <v>0</v>
      </c>
      <c r="X6" s="51">
        <f t="shared" si="0"/>
        <v>0</v>
      </c>
      <c r="Y6" s="51">
        <f t="shared" si="1"/>
        <v>0</v>
      </c>
      <c r="Z6" s="51">
        <f t="shared" si="2"/>
        <v>0</v>
      </c>
      <c r="AA6" s="53">
        <f t="shared" si="14"/>
        <v>0</v>
      </c>
      <c r="AB6" s="54">
        <f t="shared" si="15"/>
        <v>0.5759632030459757</v>
      </c>
      <c r="AC6" s="57">
        <f t="shared" si="16"/>
        <v>0.98830008096853872</v>
      </c>
      <c r="AE6" s="46"/>
      <c r="AF6" s="46"/>
      <c r="AG6">
        <v>0.65431512850467288</v>
      </c>
      <c r="AH6">
        <v>0.23543370327102803</v>
      </c>
      <c r="AI6">
        <v>7.4291764018691586E-2</v>
      </c>
      <c r="AJ6">
        <f t="shared" si="17"/>
        <v>3.5959404205607504E-2</v>
      </c>
      <c r="AL6">
        <v>0.1577151285046729</v>
      </c>
      <c r="AM6">
        <v>-3.1166296728971976E-2</v>
      </c>
      <c r="AO6" t="s">
        <v>151</v>
      </c>
      <c r="AQ6">
        <v>27392</v>
      </c>
      <c r="AR6">
        <f t="shared" si="18"/>
        <v>15419.191132594196</v>
      </c>
      <c r="AS6">
        <f t="shared" si="19"/>
        <v>11096.929376911232</v>
      </c>
    </row>
    <row r="7" spans="1:45" x14ac:dyDescent="0.25">
      <c r="A7" s="13" t="s">
        <v>34</v>
      </c>
      <c r="B7" s="47" t="s">
        <v>0</v>
      </c>
      <c r="C7" s="48">
        <f>Output!E$4+(AL7*-0.3)+AG7</f>
        <v>0.38969906631846796</v>
      </c>
      <c r="D7" s="49">
        <f>Output!E$5+(AM7*-0.3)+AH7</f>
        <v>0.38420428567028253</v>
      </c>
      <c r="E7" s="49">
        <f>Output!E$6+AI7</f>
        <v>9.1162953435114505E-2</v>
      </c>
      <c r="F7" s="49">
        <f>Output!E$7+AJ7</f>
        <v>0.14323278658095615</v>
      </c>
      <c r="H7" s="48">
        <f t="shared" si="3"/>
        <v>0.38649153748975568</v>
      </c>
      <c r="I7" s="48">
        <f t="shared" si="4"/>
        <v>0.38104198319405552</v>
      </c>
      <c r="J7" s="48">
        <f t="shared" si="5"/>
        <v>9.0412610859197926E-2</v>
      </c>
      <c r="K7" s="48">
        <f t="shared" si="6"/>
        <v>0.14205386845699081</v>
      </c>
      <c r="M7" s="50">
        <f t="shared" si="7"/>
        <v>0.21386783961729644</v>
      </c>
      <c r="N7" s="50">
        <f t="shared" si="8"/>
        <v>0.28288587471406312</v>
      </c>
      <c r="P7" s="49">
        <f t="shared" si="9"/>
        <v>0.43620864120454789</v>
      </c>
      <c r="Q7" s="49">
        <f t="shared" si="10"/>
        <v>0.44680346653711422</v>
      </c>
      <c r="S7" s="49">
        <f t="shared" si="11"/>
        <v>0.49400074741915878</v>
      </c>
      <c r="T7" s="49">
        <f t="shared" si="12"/>
        <v>0.50599925258084111</v>
      </c>
      <c r="V7" t="s">
        <v>146</v>
      </c>
      <c r="W7" s="51">
        <f t="shared" si="13"/>
        <v>0</v>
      </c>
      <c r="X7" s="51">
        <f t="shared" si="0"/>
        <v>1</v>
      </c>
      <c r="Y7" s="51">
        <f t="shared" si="1"/>
        <v>1</v>
      </c>
      <c r="Z7" s="51">
        <f t="shared" si="2"/>
        <v>1</v>
      </c>
      <c r="AA7" s="53">
        <f t="shared" si="14"/>
        <v>2.1999999999999999E-2</v>
      </c>
      <c r="AB7" s="54">
        <f t="shared" si="15"/>
        <v>0.51046142157646213</v>
      </c>
      <c r="AC7" s="57">
        <f t="shared" si="16"/>
        <v>0.62254915579372827</v>
      </c>
      <c r="AE7" s="46"/>
      <c r="AF7" s="46"/>
      <c r="AG7">
        <v>0.45707780902638273</v>
      </c>
      <c r="AH7">
        <v>0.27845855095754651</v>
      </c>
      <c r="AI7">
        <v>9.1603053435114504E-2</v>
      </c>
      <c r="AJ7">
        <f t="shared" si="17"/>
        <v>0.17286058658095615</v>
      </c>
      <c r="AL7">
        <v>-3.9522190973617255E-2</v>
      </c>
      <c r="AM7">
        <v>1.185855095754651E-2</v>
      </c>
      <c r="AO7" t="s">
        <v>29</v>
      </c>
      <c r="AQ7">
        <v>29868</v>
      </c>
      <c r="AR7">
        <f t="shared" si="18"/>
        <v>13028.679695497436</v>
      </c>
      <c r="AS7">
        <f t="shared" si="19"/>
        <v>13345.125938530527</v>
      </c>
    </row>
    <row r="8" spans="1:45" x14ac:dyDescent="0.25">
      <c r="A8" s="13" t="s">
        <v>35</v>
      </c>
      <c r="B8" s="47" t="s">
        <v>0</v>
      </c>
      <c r="C8" s="48">
        <f>Output!E$4+(AL8*-0.3)+AG8</f>
        <v>0.39948583255022135</v>
      </c>
      <c r="D8" s="49">
        <f>Output!E$5+(AM8*-0.3)+AH8</f>
        <v>0.28712122986040178</v>
      </c>
      <c r="E8" s="49">
        <f>Output!E$6+AI8</f>
        <v>8.2910257507660873E-2</v>
      </c>
      <c r="F8" s="49">
        <f>Output!E$7+AJ8</f>
        <v>0.27619446762002042</v>
      </c>
      <c r="H8" s="48">
        <f t="shared" si="3"/>
        <v>0.3820228836576906</v>
      </c>
      <c r="I8" s="48">
        <f t="shared" si="4"/>
        <v>0.27457013804569408</v>
      </c>
      <c r="J8" s="48">
        <f t="shared" si="5"/>
        <v>7.9285954787636809E-2</v>
      </c>
      <c r="K8" s="48">
        <f t="shared" si="6"/>
        <v>0.26412102350897848</v>
      </c>
      <c r="M8" s="50">
        <f t="shared" si="7"/>
        <v>0.23584887099513219</v>
      </c>
      <c r="N8" s="50">
        <f t="shared" si="8"/>
        <v>0.2127104250427676</v>
      </c>
      <c r="P8" s="49">
        <f t="shared" si="9"/>
        <v>0.46301503178079717</v>
      </c>
      <c r="Q8" s="49">
        <f t="shared" si="10"/>
        <v>0.34761638236181958</v>
      </c>
      <c r="S8" s="49">
        <f t="shared" si="11"/>
        <v>0.57117824908194048</v>
      </c>
      <c r="T8" s="49">
        <f t="shared" si="12"/>
        <v>0.42882175091805957</v>
      </c>
      <c r="V8" t="s">
        <v>135</v>
      </c>
      <c r="W8" s="51">
        <f t="shared" si="13"/>
        <v>0</v>
      </c>
      <c r="X8" s="51">
        <f t="shared" si="0"/>
        <v>0</v>
      </c>
      <c r="Y8" s="51">
        <f t="shared" si="1"/>
        <v>0</v>
      </c>
      <c r="Z8" s="51">
        <f t="shared" si="2"/>
        <v>0</v>
      </c>
      <c r="AA8" s="53">
        <f t="shared" si="14"/>
        <v>0</v>
      </c>
      <c r="AB8" s="54">
        <f t="shared" si="15"/>
        <v>0.56563892323924381</v>
      </c>
      <c r="AC8" s="57">
        <f t="shared" si="16"/>
        <v>0.97492910947026501</v>
      </c>
      <c r="AE8" s="46"/>
      <c r="AF8" s="46"/>
      <c r="AG8">
        <v>0.47105890364317332</v>
      </c>
      <c r="AH8">
        <v>0.13976847122914537</v>
      </c>
      <c r="AI8">
        <v>8.3350357507660872E-2</v>
      </c>
      <c r="AJ8">
        <f t="shared" si="17"/>
        <v>0.3058222676200204</v>
      </c>
      <c r="AL8">
        <v>-2.5541096356826665E-2</v>
      </c>
      <c r="AM8">
        <v>-0.12683152877085463</v>
      </c>
      <c r="AO8" t="s">
        <v>29</v>
      </c>
      <c r="AQ8">
        <v>29370</v>
      </c>
      <c r="AR8">
        <f t="shared" si="18"/>
        <v>13598.751483402013</v>
      </c>
      <c r="AS8">
        <f t="shared" si="19"/>
        <v>10209.493149966642</v>
      </c>
    </row>
    <row r="9" spans="1:45" x14ac:dyDescent="0.25">
      <c r="A9" s="13" t="s">
        <v>36</v>
      </c>
      <c r="B9" s="47" t="s">
        <v>0</v>
      </c>
      <c r="C9" s="48">
        <f>Output!E$4+(AL9*-0.3)+AG9</f>
        <v>0.41063627398419417</v>
      </c>
      <c r="D9" s="49">
        <f>Output!E$5+(AM9*-0.3)+AH9</f>
        <v>0.42495425074638782</v>
      </c>
      <c r="E9" s="49">
        <f>Output!E$6+AI9</f>
        <v>0.15290866666400574</v>
      </c>
      <c r="F9" s="49">
        <f>Output!E$7+AJ9</f>
        <v>-6.6374591362657054E-3</v>
      </c>
      <c r="H9" s="48">
        <f t="shared" si="3"/>
        <v>0.41541386938806002</v>
      </c>
      <c r="I9" s="48">
        <f t="shared" si="4"/>
        <v>0.42989843031318697</v>
      </c>
      <c r="J9" s="48">
        <f t="shared" si="5"/>
        <v>0.15468770029875309</v>
      </c>
      <c r="K9" s="48">
        <f t="shared" si="6"/>
        <v>0</v>
      </c>
      <c r="M9" s="50">
        <f t="shared" si="7"/>
        <v>0.15473748541054475</v>
      </c>
      <c r="N9" s="50">
        <f t="shared" si="8"/>
        <v>0.49378205656861451</v>
      </c>
      <c r="P9" s="49">
        <f t="shared" si="9"/>
        <v>0.43934985515622904</v>
      </c>
      <c r="Q9" s="49">
        <f t="shared" si="10"/>
        <v>0.50628044109257475</v>
      </c>
      <c r="S9" s="49">
        <f t="shared" si="11"/>
        <v>0.46461059559859125</v>
      </c>
      <c r="T9" s="49">
        <f t="shared" si="12"/>
        <v>0.5353894044014087</v>
      </c>
      <c r="V9" t="s">
        <v>146</v>
      </c>
      <c r="W9" s="51">
        <f t="shared" si="13"/>
        <v>0</v>
      </c>
      <c r="X9" s="51">
        <f t="shared" si="0"/>
        <v>1</v>
      </c>
      <c r="Y9" s="51">
        <f t="shared" si="1"/>
        <v>1</v>
      </c>
      <c r="Z9" s="51">
        <f t="shared" si="2"/>
        <v>0</v>
      </c>
      <c r="AA9" s="53">
        <f t="shared" si="14"/>
        <v>1.3999999999999999E-2</v>
      </c>
      <c r="AB9" s="54">
        <f t="shared" si="15"/>
        <v>0.47307126975589464</v>
      </c>
      <c r="AC9" s="57">
        <f t="shared" si="16"/>
        <v>0.21081718685947204</v>
      </c>
      <c r="AE9" s="46"/>
      <c r="AF9" s="46"/>
      <c r="AG9">
        <v>0.48698810569170592</v>
      </c>
      <c r="AH9">
        <v>0.33667278678055401</v>
      </c>
      <c r="AI9">
        <v>0.15334876666400574</v>
      </c>
      <c r="AJ9">
        <f t="shared" si="17"/>
        <v>2.2990340863734304E-2</v>
      </c>
      <c r="AL9">
        <v>-9.6118943082940667E-3</v>
      </c>
      <c r="AM9">
        <v>7.0072786780554008E-2</v>
      </c>
      <c r="AO9" t="s">
        <v>151</v>
      </c>
      <c r="AQ9">
        <v>25054</v>
      </c>
      <c r="AR9">
        <f t="shared" si="18"/>
        <v>11007.471271084163</v>
      </c>
      <c r="AS9">
        <f t="shared" si="19"/>
        <v>12684.350171133368</v>
      </c>
    </row>
    <row r="10" spans="1:45" x14ac:dyDescent="0.25">
      <c r="A10" s="13" t="s">
        <v>37</v>
      </c>
      <c r="B10" s="47" t="s">
        <v>0</v>
      </c>
      <c r="C10" s="48">
        <f>Output!E$4+(AL10*-0.3)+AG10</f>
        <v>0.42886606849977343</v>
      </c>
      <c r="D10" s="49">
        <f>Output!E$5+(AM10*-0.3)+AH10</f>
        <v>0.41078956982927933</v>
      </c>
      <c r="E10" s="49">
        <f>Output!E$6+AI10</f>
        <v>3.1702217570630006E-2</v>
      </c>
      <c r="F10" s="49">
        <f>Output!E$7+AJ10</f>
        <v>0.10876168481643753</v>
      </c>
      <c r="H10" s="48">
        <f t="shared" si="3"/>
        <v>0.43756506291714603</v>
      </c>
      <c r="I10" s="48">
        <f t="shared" si="4"/>
        <v>0.4191219058127722</v>
      </c>
      <c r="J10" s="48">
        <f t="shared" si="5"/>
        <v>3.2345256117908755E-2</v>
      </c>
      <c r="K10" s="48">
        <f t="shared" si="6"/>
        <v>0.11096777515217301</v>
      </c>
      <c r="M10" s="50">
        <f t="shared" si="7"/>
        <v>0.23001684493409721</v>
      </c>
      <c r="N10" s="50">
        <f t="shared" si="8"/>
        <v>0.22572356153485423</v>
      </c>
      <c r="P10" s="49">
        <f t="shared" si="9"/>
        <v>0.47052947420783187</v>
      </c>
      <c r="Q10" s="49">
        <f t="shared" si="10"/>
        <v>0.45147103364541097</v>
      </c>
      <c r="S10" s="49">
        <f t="shared" si="11"/>
        <v>0.51033537422164543</v>
      </c>
      <c r="T10" s="49">
        <f t="shared" si="12"/>
        <v>0.48966462577835451</v>
      </c>
      <c r="V10" t="s">
        <v>146</v>
      </c>
      <c r="W10" s="51">
        <f t="shared" si="13"/>
        <v>0</v>
      </c>
      <c r="X10" s="51">
        <f t="shared" si="0"/>
        <v>1</v>
      </c>
      <c r="Y10" s="51">
        <f t="shared" si="1"/>
        <v>1</v>
      </c>
      <c r="Z10" s="51">
        <f t="shared" si="2"/>
        <v>0</v>
      </c>
      <c r="AA10" s="53">
        <f t="shared" si="14"/>
        <v>1.3999999999999999E-2</v>
      </c>
      <c r="AB10" s="54">
        <f t="shared" si="15"/>
        <v>0.51879604837894877</v>
      </c>
      <c r="AC10" s="57">
        <f t="shared" si="16"/>
        <v>0.71256680404276607</v>
      </c>
      <c r="AE10" s="46"/>
      <c r="AF10" s="46"/>
      <c r="AG10">
        <v>0.51303066928539054</v>
      </c>
      <c r="AH10">
        <v>0.31643752832754191</v>
      </c>
      <c r="AI10">
        <v>3.2142317570630005E-2</v>
      </c>
      <c r="AJ10">
        <f t="shared" si="17"/>
        <v>0.13838948481643754</v>
      </c>
      <c r="AL10">
        <v>1.6430669285390553E-2</v>
      </c>
      <c r="AM10">
        <v>4.9837528327541902E-2</v>
      </c>
      <c r="AO10" t="s">
        <v>151</v>
      </c>
      <c r="AQ10">
        <v>26476</v>
      </c>
      <c r="AR10">
        <f t="shared" si="18"/>
        <v>12457.738359126557</v>
      </c>
      <c r="AS10">
        <f t="shared" si="19"/>
        <v>11953.147086795901</v>
      </c>
    </row>
    <row r="11" spans="1:45" x14ac:dyDescent="0.25">
      <c r="A11" s="13" t="s">
        <v>38</v>
      </c>
      <c r="B11" s="47" t="s">
        <v>0</v>
      </c>
      <c r="C11" s="48">
        <f>Output!E$4+(AL11*-0.3)+AG11</f>
        <v>0.50491709390173078</v>
      </c>
      <c r="D11" s="49">
        <f>Output!E$5+(AM11*-0.3)+AH11</f>
        <v>0.30260269443218335</v>
      </c>
      <c r="E11" s="49">
        <f>Output!E$6+AI11</f>
        <v>0.105998897947884</v>
      </c>
      <c r="F11" s="49">
        <f>Output!E$7+AJ11</f>
        <v>8.0373361575095753E-2</v>
      </c>
      <c r="H11" s="48">
        <f t="shared" si="3"/>
        <v>0.50802005609207934</v>
      </c>
      <c r="I11" s="48">
        <f t="shared" si="4"/>
        <v>0.30446233580868109</v>
      </c>
      <c r="J11" s="48">
        <f t="shared" si="5"/>
        <v>0.10665031295546326</v>
      </c>
      <c r="K11" s="48">
        <f t="shared" si="6"/>
        <v>8.0867295143776372E-2</v>
      </c>
      <c r="M11" s="50">
        <f t="shared" si="7"/>
        <v>0.20761785685904011</v>
      </c>
      <c r="N11" s="50">
        <f t="shared" si="8"/>
        <v>0.31888720311850249</v>
      </c>
      <c r="P11" s="49">
        <f t="shared" si="9"/>
        <v>0.54695206000897689</v>
      </c>
      <c r="Q11" s="49">
        <f t="shared" si="10"/>
        <v>0.36425930139091905</v>
      </c>
      <c r="S11" s="49">
        <f t="shared" si="11"/>
        <v>0.60024719091374501</v>
      </c>
      <c r="T11" s="49">
        <f t="shared" si="12"/>
        <v>0.39975280908625493</v>
      </c>
      <c r="V11" t="s">
        <v>135</v>
      </c>
      <c r="W11" s="51">
        <f t="shared" si="13"/>
        <v>0</v>
      </c>
      <c r="X11" s="51">
        <f t="shared" si="0"/>
        <v>0</v>
      </c>
      <c r="Y11" s="51">
        <f t="shared" si="1"/>
        <v>0</v>
      </c>
      <c r="Z11" s="51">
        <f t="shared" si="2"/>
        <v>0</v>
      </c>
      <c r="AA11" s="53">
        <f t="shared" si="14"/>
        <v>0</v>
      </c>
      <c r="AB11" s="54">
        <f t="shared" si="15"/>
        <v>0.59470786507104834</v>
      </c>
      <c r="AC11" s="57">
        <f t="shared" si="16"/>
        <v>0.99764486840288802</v>
      </c>
      <c r="AE11" s="46"/>
      <c r="AF11" s="46"/>
      <c r="AG11">
        <v>0.62167499128818682</v>
      </c>
      <c r="AH11">
        <v>0.16188484918883339</v>
      </c>
      <c r="AI11">
        <v>0.106438997947884</v>
      </c>
      <c r="AJ11">
        <f t="shared" si="17"/>
        <v>0.11000116157509576</v>
      </c>
      <c r="AL11">
        <v>0.12507499128818683</v>
      </c>
      <c r="AM11">
        <v>-0.10471515081116661</v>
      </c>
      <c r="AO11" t="s">
        <v>29</v>
      </c>
      <c r="AQ11">
        <v>25827</v>
      </c>
      <c r="AR11">
        <f t="shared" si="18"/>
        <v>14126.130853851846</v>
      </c>
      <c r="AS11">
        <f t="shared" si="19"/>
        <v>9407.7249770232665</v>
      </c>
    </row>
    <row r="12" spans="1:45" x14ac:dyDescent="0.25">
      <c r="A12" s="13" t="s">
        <v>39</v>
      </c>
      <c r="B12" s="47" t="s">
        <v>0</v>
      </c>
      <c r="C12" s="48">
        <f>Output!E$4+(AL12*-0.3)+AG12</f>
        <v>0.39664163808180541</v>
      </c>
      <c r="D12" s="49">
        <f>Output!E$5+(AM12*-0.3)+AH12</f>
        <v>0.48964648758815232</v>
      </c>
      <c r="E12" s="49">
        <f>Output!E$6+AI12</f>
        <v>0.10347386332863187</v>
      </c>
      <c r="F12" s="49">
        <f>Output!E$7+AJ12</f>
        <v>-2.962780000000001E-2</v>
      </c>
      <c r="H12" s="48">
        <f t="shared" si="3"/>
        <v>0.40074446431622929</v>
      </c>
      <c r="I12" s="48">
        <f t="shared" si="4"/>
        <v>0.49471134780954906</v>
      </c>
      <c r="J12" s="48">
        <f t="shared" si="5"/>
        <v>0.10454418787422166</v>
      </c>
      <c r="K12" s="48">
        <f t="shared" si="6"/>
        <v>0</v>
      </c>
      <c r="M12" s="50">
        <f t="shared" si="7"/>
        <v>0.1508302817862939</v>
      </c>
      <c r="N12" s="50">
        <f t="shared" si="8"/>
        <v>0.50291349874663904</v>
      </c>
      <c r="P12" s="49">
        <f t="shared" si="9"/>
        <v>0.41651289363241739</v>
      </c>
      <c r="Q12" s="49">
        <f t="shared" si="10"/>
        <v>0.54728803110699986</v>
      </c>
      <c r="S12" s="49">
        <f t="shared" si="11"/>
        <v>0.43215656152750626</v>
      </c>
      <c r="T12" s="49">
        <f t="shared" si="12"/>
        <v>0.56784343847249374</v>
      </c>
      <c r="V12" t="s">
        <v>146</v>
      </c>
      <c r="W12" s="51">
        <f t="shared" si="13"/>
        <v>0</v>
      </c>
      <c r="X12" s="51">
        <f t="shared" si="0"/>
        <v>1</v>
      </c>
      <c r="Y12" s="51">
        <f t="shared" si="1"/>
        <v>1</v>
      </c>
      <c r="Z12" s="51">
        <f t="shared" si="2"/>
        <v>1</v>
      </c>
      <c r="AA12" s="53">
        <f t="shared" si="14"/>
        <v>2.1999999999999999E-2</v>
      </c>
      <c r="AB12" s="54">
        <f t="shared" si="15"/>
        <v>0.44861723568480966</v>
      </c>
      <c r="AC12" s="57">
        <f t="shared" si="16"/>
        <v>6.2597307795315915E-2</v>
      </c>
      <c r="AE12" s="46"/>
      <c r="AF12" s="46"/>
      <c r="AG12">
        <v>0.46699576868829334</v>
      </c>
      <c r="AH12">
        <v>0.42909026798307476</v>
      </c>
      <c r="AI12">
        <v>0.10391396332863187</v>
      </c>
      <c r="AJ12">
        <f t="shared" si="17"/>
        <v>0</v>
      </c>
      <c r="AL12">
        <v>-2.9604231311706641E-2</v>
      </c>
      <c r="AM12">
        <v>0.16249026798307475</v>
      </c>
      <c r="AO12" t="s">
        <v>29</v>
      </c>
      <c r="AQ12">
        <v>28360</v>
      </c>
      <c r="AR12">
        <f t="shared" si="18"/>
        <v>11812.305663415356</v>
      </c>
      <c r="AS12">
        <f t="shared" si="19"/>
        <v>15521.088562194516</v>
      </c>
    </row>
    <row r="13" spans="1:45" x14ac:dyDescent="0.25">
      <c r="A13" s="13" t="s">
        <v>40</v>
      </c>
      <c r="B13" s="47" t="s">
        <v>0</v>
      </c>
      <c r="C13" s="48">
        <f>Output!E$4+(AL13*-0.3)+AG13</f>
        <v>0.44185966048915692</v>
      </c>
      <c r="D13" s="49">
        <f>Output!E$5+(AM13*-0.3)+AH13</f>
        <v>0.35537566300985057</v>
      </c>
      <c r="E13" s="49">
        <f>Output!E$6+AI13</f>
        <v>2.8961750256563917E-2</v>
      </c>
      <c r="F13" s="49">
        <f>Output!E$7+AJ13</f>
        <v>0.17210260188771107</v>
      </c>
      <c r="H13" s="48">
        <f t="shared" si="3"/>
        <v>0.44261224486969025</v>
      </c>
      <c r="I13" s="48">
        <f t="shared" si="4"/>
        <v>0.35598094608300285</v>
      </c>
      <c r="J13" s="48">
        <f t="shared" si="5"/>
        <v>2.901107849995203E-2</v>
      </c>
      <c r="K13" s="48">
        <f t="shared" si="6"/>
        <v>0.17239573054735485</v>
      </c>
      <c r="M13" s="50">
        <f t="shared" si="7"/>
        <v>0.24164334659958783</v>
      </c>
      <c r="N13" s="50">
        <f t="shared" si="8"/>
        <v>0.18883647967468656</v>
      </c>
      <c r="P13" s="49">
        <f t="shared" si="9"/>
        <v>0.49128086023582562</v>
      </c>
      <c r="Q13" s="49">
        <f t="shared" si="10"/>
        <v>0.39401389888600807</v>
      </c>
      <c r="S13" s="49">
        <f t="shared" si="11"/>
        <v>0.55493478886416392</v>
      </c>
      <c r="T13" s="49">
        <f t="shared" si="12"/>
        <v>0.44506521113583614</v>
      </c>
      <c r="V13" t="s">
        <v>135</v>
      </c>
      <c r="W13" s="51">
        <f t="shared" si="13"/>
        <v>0</v>
      </c>
      <c r="X13" s="51">
        <f t="shared" si="0"/>
        <v>0</v>
      </c>
      <c r="Y13" s="51">
        <f t="shared" si="1"/>
        <v>0</v>
      </c>
      <c r="Z13" s="51">
        <f t="shared" si="2"/>
        <v>0</v>
      </c>
      <c r="AA13" s="53">
        <f t="shared" si="14"/>
        <v>0</v>
      </c>
      <c r="AB13" s="54">
        <f t="shared" si="15"/>
        <v>0.54939546302146725</v>
      </c>
      <c r="AC13" s="57">
        <f t="shared" si="16"/>
        <v>0.9297627174111317</v>
      </c>
      <c r="AE13" s="46"/>
      <c r="AF13" s="46"/>
      <c r="AG13">
        <v>0.53159294355593845</v>
      </c>
      <c r="AH13">
        <v>0.23727480429978651</v>
      </c>
      <c r="AI13">
        <v>2.9401850256563916E-2</v>
      </c>
      <c r="AJ13">
        <f t="shared" si="17"/>
        <v>0.20173040188771107</v>
      </c>
      <c r="AL13">
        <v>3.4992943555938461E-2</v>
      </c>
      <c r="AM13">
        <v>-2.9325195700213497E-2</v>
      </c>
      <c r="AO13" t="s">
        <v>29</v>
      </c>
      <c r="AQ13">
        <v>26699</v>
      </c>
      <c r="AR13">
        <f t="shared" si="18"/>
        <v>13116.707687436308</v>
      </c>
      <c r="AS13">
        <f t="shared" si="19"/>
        <v>10519.77708635753</v>
      </c>
    </row>
    <row r="14" spans="1:45" x14ac:dyDescent="0.25">
      <c r="A14" s="13" t="s">
        <v>41</v>
      </c>
      <c r="B14" s="47" t="s">
        <v>1</v>
      </c>
      <c r="C14" s="48">
        <f>Output!E$4+(AL14*-0.3)+AG14</f>
        <v>0.31926976450293443</v>
      </c>
      <c r="D14" s="49">
        <f>Output!E$5+(AM14*-0.3)+AH14</f>
        <v>0.46178907983282946</v>
      </c>
      <c r="E14" s="49">
        <f>Output!E$6+AI14</f>
        <v>5.0955951929574958E-2</v>
      </c>
      <c r="F14" s="49">
        <f>Output!E$7+AJ14</f>
        <v>0.17321765616219095</v>
      </c>
      <c r="H14" s="48">
        <f t="shared" si="3"/>
        <v>0.31760789629496322</v>
      </c>
      <c r="I14" s="48">
        <f t="shared" si="4"/>
        <v>0.45938536775017341</v>
      </c>
      <c r="J14" s="48">
        <f t="shared" si="5"/>
        <v>5.0690715173910009E-2</v>
      </c>
      <c r="K14" s="48">
        <f t="shared" si="6"/>
        <v>0.17231602078095337</v>
      </c>
      <c r="M14" s="50">
        <f t="shared" si="7"/>
        <v>0.22078606601303702</v>
      </c>
      <c r="N14" s="50">
        <f t="shared" si="8"/>
        <v>0.24748807799587325</v>
      </c>
      <c r="P14" s="49">
        <f t="shared" si="9"/>
        <v>0.3668446762208456</v>
      </c>
      <c r="Q14" s="49">
        <f t="shared" si="10"/>
        <v>0.51457687621177572</v>
      </c>
      <c r="S14" s="49">
        <f t="shared" si="11"/>
        <v>0.416196626016685</v>
      </c>
      <c r="T14" s="49">
        <f t="shared" si="12"/>
        <v>0.58380337398331505</v>
      </c>
      <c r="V14" t="s">
        <v>136</v>
      </c>
      <c r="W14" s="51">
        <f t="shared" si="13"/>
        <v>0</v>
      </c>
      <c r="X14" s="51">
        <f t="shared" si="0"/>
        <v>0</v>
      </c>
      <c r="Y14" s="51">
        <f t="shared" si="1"/>
        <v>0</v>
      </c>
      <c r="Z14" s="51">
        <f t="shared" si="2"/>
        <v>0</v>
      </c>
      <c r="AA14" s="53">
        <f t="shared" si="14"/>
        <v>0</v>
      </c>
      <c r="AB14" s="54">
        <f t="shared" si="15"/>
        <v>0.41065730017398838</v>
      </c>
      <c r="AC14" s="57">
        <f t="shared" si="16"/>
        <v>3.8367907179175376E-3</v>
      </c>
      <c r="AE14" s="46"/>
      <c r="AF14" s="46"/>
      <c r="AG14">
        <v>0.35646452071847767</v>
      </c>
      <c r="AH14">
        <v>0.38929397118975634</v>
      </c>
      <c r="AI14">
        <v>5.1396051929574957E-2</v>
      </c>
      <c r="AJ14">
        <f t="shared" si="17"/>
        <v>0.20284545616219096</v>
      </c>
      <c r="AL14">
        <v>-0.14013547928152231</v>
      </c>
      <c r="AM14">
        <v>0.12269397118975633</v>
      </c>
      <c r="AO14" t="s">
        <v>151</v>
      </c>
      <c r="AQ14">
        <v>28115</v>
      </c>
      <c r="AR14">
        <f t="shared" si="18"/>
        <v>10313.838071949074</v>
      </c>
      <c r="AS14">
        <f t="shared" si="19"/>
        <v>14467.328874694074</v>
      </c>
    </row>
    <row r="15" spans="1:45" x14ac:dyDescent="0.25">
      <c r="A15" s="13" t="s">
        <v>42</v>
      </c>
      <c r="B15" s="47" t="s">
        <v>0</v>
      </c>
      <c r="C15" s="48">
        <f>Output!E$4+(AL15*-0.3)+AG15</f>
        <v>0.40567883799582466</v>
      </c>
      <c r="D15" s="49">
        <f>Output!E$5+(AM15*-0.3)+AH15</f>
        <v>0.33333340438413361</v>
      </c>
      <c r="E15" s="49">
        <f>Output!E$6+AI15</f>
        <v>2.6848894929913512E-2</v>
      </c>
      <c r="F15" s="49">
        <f>Output!E$7+AJ15</f>
        <v>0.25739128738443184</v>
      </c>
      <c r="H15" s="48">
        <f t="shared" si="3"/>
        <v>0.39646017757252922</v>
      </c>
      <c r="I15" s="48">
        <f t="shared" si="4"/>
        <v>0.3257587241815888</v>
      </c>
      <c r="J15" s="48">
        <f t="shared" si="5"/>
        <v>2.623877968130358E-2</v>
      </c>
      <c r="K15" s="48">
        <f t="shared" si="6"/>
        <v>0.25154231856457848</v>
      </c>
      <c r="M15" s="50">
        <f t="shared" si="7"/>
        <v>0.24588276188807853</v>
      </c>
      <c r="N15" s="50">
        <f t="shared" si="8"/>
        <v>0.17302928480806778</v>
      </c>
      <c r="P15" s="49">
        <f t="shared" si="9"/>
        <v>0.46476176120953039</v>
      </c>
      <c r="Q15" s="49">
        <f t="shared" si="10"/>
        <v>0.3738229889442734</v>
      </c>
      <c r="S15" s="49">
        <f t="shared" si="11"/>
        <v>0.55422157524840399</v>
      </c>
      <c r="T15" s="49">
        <f t="shared" si="12"/>
        <v>0.44577842475159607</v>
      </c>
      <c r="V15" t="s">
        <v>137</v>
      </c>
      <c r="W15" s="51">
        <f t="shared" si="13"/>
        <v>1</v>
      </c>
      <c r="X15" s="51">
        <f t="shared" si="0"/>
        <v>0</v>
      </c>
      <c r="Y15" s="51">
        <f t="shared" si="1"/>
        <v>0</v>
      </c>
      <c r="Z15" s="51">
        <f t="shared" si="2"/>
        <v>0</v>
      </c>
      <c r="AA15" s="53">
        <f t="shared" si="14"/>
        <v>-0.01</v>
      </c>
      <c r="AB15" s="54">
        <f t="shared" si="15"/>
        <v>0.5386822494057073</v>
      </c>
      <c r="AC15" s="57">
        <f t="shared" si="16"/>
        <v>0.87581746717178133</v>
      </c>
      <c r="AE15" s="46"/>
      <c r="AF15" s="46"/>
      <c r="AG15">
        <v>0.47990605427974947</v>
      </c>
      <c r="AH15">
        <v>0.20578586340590516</v>
      </c>
      <c r="AI15">
        <v>2.7288994929913511E-2</v>
      </c>
      <c r="AJ15">
        <f t="shared" si="17"/>
        <v>0.28701908738443183</v>
      </c>
      <c r="AL15">
        <v>-1.6693945720250514E-2</v>
      </c>
      <c r="AM15">
        <v>-6.0814136594094848E-2</v>
      </c>
      <c r="AO15" t="s">
        <v>29</v>
      </c>
      <c r="AQ15">
        <v>26824</v>
      </c>
      <c r="AR15">
        <f t="shared" si="18"/>
        <v>12466.769482684444</v>
      </c>
      <c r="AS15">
        <f t="shared" si="19"/>
        <v>10027.42785544119</v>
      </c>
    </row>
    <row r="16" spans="1:45" x14ac:dyDescent="0.25">
      <c r="A16" s="13" t="s">
        <v>43</v>
      </c>
      <c r="B16" s="47" t="s">
        <v>0</v>
      </c>
      <c r="C16" s="48">
        <f>Output!E$4+(AL16*-0.3)+AG16</f>
        <v>0.42803294664939179</v>
      </c>
      <c r="D16" s="49">
        <f>Output!E$5+(AM16*-0.3)+AH16</f>
        <v>0.40523377865831711</v>
      </c>
      <c r="E16" s="49">
        <f>Output!E$6+AI16</f>
        <v>8.3954919074353998E-2</v>
      </c>
      <c r="F16" s="49">
        <f>Output!E$7+AJ16</f>
        <v>6.5636001914633341E-2</v>
      </c>
      <c r="H16" s="48">
        <f t="shared" si="3"/>
        <v>0.43549841450811794</v>
      </c>
      <c r="I16" s="48">
        <f t="shared" si="4"/>
        <v>0.41230159849210635</v>
      </c>
      <c r="J16" s="48">
        <f t="shared" si="5"/>
        <v>8.5419205304743021E-2</v>
      </c>
      <c r="K16" s="48">
        <f t="shared" si="6"/>
        <v>6.6780781695032709E-2</v>
      </c>
      <c r="M16" s="50">
        <f t="shared" si="7"/>
        <v>0.19840071877075899</v>
      </c>
      <c r="N16" s="50">
        <f t="shared" si="8"/>
        <v>0.33953388117891303</v>
      </c>
      <c r="P16" s="49">
        <f t="shared" si="9"/>
        <v>0.46569500132577363</v>
      </c>
      <c r="Q16" s="49">
        <f t="shared" si="10"/>
        <v>0.4639786507935203</v>
      </c>
      <c r="S16" s="49">
        <f t="shared" si="11"/>
        <v>0.50092309302750526</v>
      </c>
      <c r="T16" s="49">
        <f t="shared" si="12"/>
        <v>0.49907690697249479</v>
      </c>
      <c r="V16" t="s">
        <v>146</v>
      </c>
      <c r="W16" s="51">
        <f t="shared" si="13"/>
        <v>0</v>
      </c>
      <c r="X16" s="51">
        <f t="shared" si="0"/>
        <v>1</v>
      </c>
      <c r="Y16" s="51">
        <f t="shared" si="1"/>
        <v>1</v>
      </c>
      <c r="Z16" s="51">
        <f t="shared" si="2"/>
        <v>0</v>
      </c>
      <c r="AA16" s="53">
        <f t="shared" si="14"/>
        <v>1.3999999999999999E-2</v>
      </c>
      <c r="AB16" s="54">
        <f t="shared" si="15"/>
        <v>0.5093837671848086</v>
      </c>
      <c r="AC16" s="57">
        <f t="shared" si="16"/>
        <v>0.61027047401716872</v>
      </c>
      <c r="AE16" s="46"/>
      <c r="AF16" s="46"/>
      <c r="AG16">
        <v>0.51184049521341679</v>
      </c>
      <c r="AH16">
        <v>0.30850068379759593</v>
      </c>
      <c r="AI16">
        <v>8.4395019074353997E-2</v>
      </c>
      <c r="AJ16">
        <f t="shared" si="17"/>
        <v>9.526380191463335E-2</v>
      </c>
      <c r="AL16">
        <v>1.5240495213416805E-2</v>
      </c>
      <c r="AM16">
        <v>4.1900683797595928E-2</v>
      </c>
      <c r="AO16" t="s">
        <v>151</v>
      </c>
      <c r="AQ16">
        <v>27786</v>
      </c>
      <c r="AR16">
        <f t="shared" si="18"/>
        <v>12939.801306837946</v>
      </c>
      <c r="AS16">
        <f t="shared" si="19"/>
        <v>12892.110790948755</v>
      </c>
    </row>
    <row r="17" spans="1:45" x14ac:dyDescent="0.25">
      <c r="A17" s="13" t="s">
        <v>44</v>
      </c>
      <c r="B17" s="47" t="s">
        <v>0</v>
      </c>
      <c r="C17" s="48">
        <f>Output!E$4+(AL17*-0.3)+AG17</f>
        <v>0.34979386975189164</v>
      </c>
      <c r="D17" s="49">
        <f>Output!E$5+(AM17*-0.3)+AH17</f>
        <v>0.30304715711771946</v>
      </c>
      <c r="E17" s="49">
        <f>Output!E$6+AI17</f>
        <v>3.7075296797466128E-2</v>
      </c>
      <c r="F17" s="49">
        <f>Output!E$7+AJ17</f>
        <v>0.3702666219602323</v>
      </c>
      <c r="H17" s="48">
        <f t="shared" si="3"/>
        <v>0.32993727280240187</v>
      </c>
      <c r="I17" s="48">
        <f t="shared" si="4"/>
        <v>0.28584421053708486</v>
      </c>
      <c r="J17" s="48">
        <f t="shared" si="5"/>
        <v>3.4970659498327152E-2</v>
      </c>
      <c r="K17" s="48">
        <f t="shared" si="6"/>
        <v>0.34924785716218609</v>
      </c>
      <c r="M17" s="50">
        <f t="shared" si="7"/>
        <v>0.24503974958111341</v>
      </c>
      <c r="N17" s="50">
        <f t="shared" si="8"/>
        <v>0.17459008753662469</v>
      </c>
      <c r="P17" s="49">
        <f t="shared" si="9"/>
        <v>0.4240860819093209</v>
      </c>
      <c r="Q17" s="49">
        <f t="shared" si="10"/>
        <v>0.35292495499403598</v>
      </c>
      <c r="S17" s="49">
        <f t="shared" si="11"/>
        <v>0.54579158051530718</v>
      </c>
      <c r="T17" s="49">
        <f t="shared" si="12"/>
        <v>0.4542084194846927</v>
      </c>
      <c r="V17" t="s">
        <v>135</v>
      </c>
      <c r="W17" s="51">
        <f t="shared" si="13"/>
        <v>0</v>
      </c>
      <c r="X17" s="51">
        <f t="shared" si="0"/>
        <v>0</v>
      </c>
      <c r="Y17" s="51">
        <f t="shared" si="1"/>
        <v>0</v>
      </c>
      <c r="Z17" s="51">
        <f t="shared" si="2"/>
        <v>0</v>
      </c>
      <c r="AA17" s="53">
        <f t="shared" si="14"/>
        <v>0</v>
      </c>
      <c r="AB17" s="54">
        <f t="shared" si="15"/>
        <v>0.54025225467261051</v>
      </c>
      <c r="AC17" s="57">
        <f t="shared" si="16"/>
        <v>0.88515943085231974</v>
      </c>
      <c r="AE17" s="46"/>
      <c r="AF17" s="46"/>
      <c r="AG17">
        <v>0.40007038535984513</v>
      </c>
      <c r="AH17">
        <v>0.16251979588245644</v>
      </c>
      <c r="AI17">
        <v>3.7515396797466127E-2</v>
      </c>
      <c r="AJ17">
        <f t="shared" si="17"/>
        <v>0.39989442196023228</v>
      </c>
      <c r="AL17">
        <v>-9.6529614640154859E-2</v>
      </c>
      <c r="AM17">
        <v>-0.10408020411754357</v>
      </c>
      <c r="AO17" t="s">
        <v>29</v>
      </c>
      <c r="AQ17">
        <v>28415</v>
      </c>
      <c r="AR17">
        <f t="shared" si="18"/>
        <v>12050.406017453353</v>
      </c>
      <c r="AS17">
        <f t="shared" si="19"/>
        <v>10028.362596155532</v>
      </c>
    </row>
    <row r="18" spans="1:45" x14ac:dyDescent="0.25">
      <c r="A18" s="13" t="s">
        <v>45</v>
      </c>
      <c r="B18" s="47" t="s">
        <v>0</v>
      </c>
      <c r="C18" s="48">
        <f>Output!E$4+(AL18*-0.3)+AG18</f>
        <v>0.36730343642742291</v>
      </c>
      <c r="D18" s="49">
        <f>Output!E$5+(AM18*-0.3)+AH18</f>
        <v>0.38165283661745358</v>
      </c>
      <c r="E18" s="49">
        <f>Output!E$6+AI18</f>
        <v>7.0675234015494817E-2</v>
      </c>
      <c r="F18" s="49">
        <f>Output!E$7+AJ18</f>
        <v>0.19935919020611012</v>
      </c>
      <c r="H18" s="48">
        <f t="shared" si="3"/>
        <v>0.36045808603821589</v>
      </c>
      <c r="I18" s="48">
        <f t="shared" si="4"/>
        <v>0.37454005972897086</v>
      </c>
      <c r="J18" s="48">
        <f t="shared" si="5"/>
        <v>6.9358075795084698E-2</v>
      </c>
      <c r="K18" s="48">
        <f t="shared" si="6"/>
        <v>0.19564377843772868</v>
      </c>
      <c r="M18" s="50">
        <f t="shared" si="7"/>
        <v>0.22478337389377551</v>
      </c>
      <c r="N18" s="50">
        <f t="shared" si="8"/>
        <v>0.24224138039867565</v>
      </c>
      <c r="P18" s="49">
        <f t="shared" si="9"/>
        <v>0.42002609692077419</v>
      </c>
      <c r="Q18" s="49">
        <f t="shared" si="10"/>
        <v>0.4387344747065362</v>
      </c>
      <c r="S18" s="49">
        <f t="shared" si="11"/>
        <v>0.48910733771212245</v>
      </c>
      <c r="T18" s="49">
        <f t="shared" si="12"/>
        <v>0.51089266228787766</v>
      </c>
      <c r="V18" t="s">
        <v>143</v>
      </c>
      <c r="W18" s="51">
        <f t="shared" si="13"/>
        <v>0</v>
      </c>
      <c r="X18" s="51">
        <v>1</v>
      </c>
      <c r="Y18" s="51">
        <v>1</v>
      </c>
      <c r="Z18" s="51">
        <f t="shared" si="2"/>
        <v>1</v>
      </c>
      <c r="AA18" s="55">
        <v>1.2E-2</v>
      </c>
      <c r="AB18" s="54">
        <f t="shared" si="15"/>
        <v>0.49556801186942584</v>
      </c>
      <c r="AC18" s="57">
        <f t="shared" si="16"/>
        <v>0.44739074570757564</v>
      </c>
      <c r="AE18" s="46"/>
      <c r="AF18" s="46"/>
      <c r="AG18">
        <v>0.42508405203917554</v>
      </c>
      <c r="AH18">
        <v>0.27481362373921941</v>
      </c>
      <c r="AI18">
        <v>7.1115334015494816E-2</v>
      </c>
      <c r="AJ18">
        <f t="shared" si="17"/>
        <v>0.22898699020611013</v>
      </c>
      <c r="AL18">
        <v>-7.1515947960824444E-2</v>
      </c>
      <c r="AM18">
        <v>8.2136237392194111E-3</v>
      </c>
      <c r="AO18" t="s">
        <v>29</v>
      </c>
      <c r="AQ18">
        <v>27364</v>
      </c>
      <c r="AR18">
        <f t="shared" si="18"/>
        <v>11493.594116140064</v>
      </c>
      <c r="AS18">
        <f t="shared" si="19"/>
        <v>12005.530165869657</v>
      </c>
    </row>
    <row r="19" spans="1:45" x14ac:dyDescent="0.25">
      <c r="A19" s="13" t="s">
        <v>46</v>
      </c>
      <c r="B19" s="47" t="s">
        <v>0</v>
      </c>
      <c r="C19" s="48">
        <f>Output!E$4+(AL19*-0.3)+AG19</f>
        <v>0.44304738898949136</v>
      </c>
      <c r="D19" s="49">
        <f>Output!E$5+(AM19*-0.3)+AH19</f>
        <v>0.29257408942583907</v>
      </c>
      <c r="E19" s="49">
        <f>Output!E$6+AI19</f>
        <v>3.1995084175120904E-2</v>
      </c>
      <c r="F19" s="49">
        <f>Output!E$7+AJ19</f>
        <v>0.25708904666012145</v>
      </c>
      <c r="H19" s="48">
        <f t="shared" si="3"/>
        <v>0.43236553502768266</v>
      </c>
      <c r="I19" s="48">
        <f t="shared" si="4"/>
        <v>0.28552014040385282</v>
      </c>
      <c r="J19" s="48">
        <f t="shared" si="5"/>
        <v>3.1223684037916789E-2</v>
      </c>
      <c r="K19" s="48">
        <f t="shared" si="6"/>
        <v>0.25089064053054783</v>
      </c>
      <c r="M19" s="50">
        <f t="shared" si="7"/>
        <v>0.24908823714102618</v>
      </c>
      <c r="N19" s="50">
        <f t="shared" si="8"/>
        <v>0.16746752603207349</v>
      </c>
      <c r="P19" s="49">
        <f t="shared" si="9"/>
        <v>0.50263689480667284</v>
      </c>
      <c r="Q19" s="49">
        <f t="shared" si="10"/>
        <v>0.33276512839754302</v>
      </c>
      <c r="S19" s="49">
        <f t="shared" si="11"/>
        <v>0.60167066974387984</v>
      </c>
      <c r="T19" s="49">
        <f t="shared" si="12"/>
        <v>0.39832933025612011</v>
      </c>
      <c r="V19" t="s">
        <v>135</v>
      </c>
      <c r="W19" s="51">
        <f t="shared" si="13"/>
        <v>0</v>
      </c>
      <c r="X19" s="51">
        <f t="shared" ref="X19:X47" si="20">IF(V19="ALPSOPWIN",1,IF(V19="LNPSOPWIN",1,0))</f>
        <v>0</v>
      </c>
      <c r="Y19" s="51">
        <f t="shared" ref="Y19:Y47" si="21">IF(V19="ALPSOPWIN",1,IF(V19="LNPSOPWIN",1,0))</f>
        <v>0</v>
      </c>
      <c r="Z19" s="51">
        <f t="shared" si="2"/>
        <v>0</v>
      </c>
      <c r="AA19" s="53">
        <f t="shared" si="14"/>
        <v>0</v>
      </c>
      <c r="AB19" s="54">
        <f t="shared" si="15"/>
        <v>0.59613134390118316</v>
      </c>
      <c r="AC19" s="57">
        <f t="shared" si="16"/>
        <v>0.9979391009416283</v>
      </c>
      <c r="AE19" s="46"/>
      <c r="AF19" s="46"/>
      <c r="AG19">
        <v>0.53328969855641617</v>
      </c>
      <c r="AH19">
        <v>0.14755827060834151</v>
      </c>
      <c r="AI19">
        <v>3.2435184175120903E-2</v>
      </c>
      <c r="AJ19">
        <f t="shared" si="17"/>
        <v>0.28671684666012143</v>
      </c>
      <c r="AL19">
        <v>3.6689698556416184E-2</v>
      </c>
      <c r="AM19">
        <v>-0.1190417293916585</v>
      </c>
      <c r="AO19" t="s">
        <v>29</v>
      </c>
      <c r="AQ19">
        <v>27501</v>
      </c>
      <c r="AR19">
        <f t="shared" si="18"/>
        <v>13823.01724407831</v>
      </c>
      <c r="AS19">
        <f t="shared" si="19"/>
        <v>9151.3737960608305</v>
      </c>
    </row>
    <row r="20" spans="1:45" x14ac:dyDescent="0.25">
      <c r="A20" s="13" t="s">
        <v>47</v>
      </c>
      <c r="B20" s="47" t="s">
        <v>0</v>
      </c>
      <c r="C20" s="48">
        <f>Output!E$4+(AL20*-0.3)+AG20</f>
        <v>0.51930975275403268</v>
      </c>
      <c r="D20" s="49">
        <f>Output!E$5+(AM20*-0.3)+AH20</f>
        <v>0.34634492194306099</v>
      </c>
      <c r="E20" s="49">
        <f>Output!E$6+AI20</f>
        <v>0.13295022186129488</v>
      </c>
      <c r="F20" s="49">
        <f>Output!E$7+AJ20</f>
        <v>-2.962780000000001E-2</v>
      </c>
      <c r="H20" s="48">
        <f t="shared" si="3"/>
        <v>0.52003525572905962</v>
      </c>
      <c r="I20" s="48">
        <f t="shared" si="4"/>
        <v>0.34682878397323197</v>
      </c>
      <c r="J20" s="48">
        <f t="shared" si="5"/>
        <v>0.13313596029770844</v>
      </c>
      <c r="K20" s="48">
        <f t="shared" si="6"/>
        <v>0</v>
      </c>
      <c r="M20" s="50">
        <f t="shared" si="7"/>
        <v>0.16439146122127915</v>
      </c>
      <c r="N20" s="50">
        <f t="shared" si="8"/>
        <v>0.47121995579745996</v>
      </c>
      <c r="P20" s="49">
        <f t="shared" si="9"/>
        <v>0.54192167078349807</v>
      </c>
      <c r="Q20" s="49">
        <f t="shared" si="10"/>
        <v>0.40956510529977053</v>
      </c>
      <c r="S20" s="49">
        <f t="shared" si="11"/>
        <v>0.56955249868451374</v>
      </c>
      <c r="T20" s="49">
        <f t="shared" si="12"/>
        <v>0.43044750131548626</v>
      </c>
      <c r="V20" t="s">
        <v>135</v>
      </c>
      <c r="W20" s="51">
        <f t="shared" si="13"/>
        <v>0</v>
      </c>
      <c r="X20" s="51">
        <f t="shared" si="20"/>
        <v>0</v>
      </c>
      <c r="Y20" s="51">
        <f t="shared" si="21"/>
        <v>0</v>
      </c>
      <c r="Z20" s="51">
        <f t="shared" si="2"/>
        <v>0</v>
      </c>
      <c r="AA20" s="53">
        <f t="shared" si="14"/>
        <v>0</v>
      </c>
      <c r="AB20" s="54">
        <f t="shared" si="15"/>
        <v>0.56401317284181707</v>
      </c>
      <c r="AC20" s="57">
        <f t="shared" si="16"/>
        <v>0.97194870749026763</v>
      </c>
      <c r="AE20" s="46"/>
      <c r="AF20" s="46"/>
      <c r="AG20">
        <v>0.64223593250576083</v>
      </c>
      <c r="AH20">
        <v>0.22437374563294432</v>
      </c>
      <c r="AI20">
        <v>0.13339032186129487</v>
      </c>
      <c r="AJ20">
        <f t="shared" si="17"/>
        <v>0</v>
      </c>
      <c r="AL20">
        <v>0.14563593250576085</v>
      </c>
      <c r="AM20">
        <v>-4.2226254367055682E-2</v>
      </c>
      <c r="AO20" t="s">
        <v>29</v>
      </c>
      <c r="AQ20">
        <v>26906</v>
      </c>
      <c r="AR20">
        <f t="shared" si="18"/>
        <v>14580.944474100799</v>
      </c>
      <c r="AS20">
        <f t="shared" si="19"/>
        <v>11019.758723195626</v>
      </c>
    </row>
    <row r="21" spans="1:45" x14ac:dyDescent="0.25">
      <c r="A21" s="13" t="s">
        <v>48</v>
      </c>
      <c r="B21" s="47" t="s">
        <v>0</v>
      </c>
      <c r="C21" s="48">
        <f>Output!E$4+(AL21*-0.3)+AG21</f>
        <v>0.39551617802964256</v>
      </c>
      <c r="D21" s="49">
        <f>Output!E$5+(AM21*-0.3)+AH21</f>
        <v>0.45790753714036614</v>
      </c>
      <c r="E21" s="49">
        <f>Output!E$6+AI21</f>
        <v>7.516582850915432E-2</v>
      </c>
      <c r="F21" s="49">
        <f>Output!E$7+AJ21</f>
        <v>4.5629392676547503E-2</v>
      </c>
      <c r="H21" s="48">
        <f t="shared" si="3"/>
        <v>0.40598284766375159</v>
      </c>
      <c r="I21" s="48">
        <f t="shared" si="4"/>
        <v>0.4700252890313078</v>
      </c>
      <c r="J21" s="48">
        <f t="shared" si="5"/>
        <v>7.7154965587436994E-2</v>
      </c>
      <c r="K21" s="48">
        <f t="shared" si="6"/>
        <v>4.6836897717503538E-2</v>
      </c>
      <c r="M21" s="50">
        <f t="shared" si="7"/>
        <v>0.18813219455540198</v>
      </c>
      <c r="N21" s="50">
        <f t="shared" si="8"/>
        <v>0.37079322055760178</v>
      </c>
      <c r="P21" s="49">
        <f t="shared" si="9"/>
        <v>0.42930970901432347</v>
      </c>
      <c r="Q21" s="49">
        <f t="shared" si="10"/>
        <v>0.51600063134908458</v>
      </c>
      <c r="S21" s="49">
        <f t="shared" si="11"/>
        <v>0.45414684541510769</v>
      </c>
      <c r="T21" s="49">
        <f t="shared" si="12"/>
        <v>0.54585315458489236</v>
      </c>
      <c r="V21" t="s">
        <v>146</v>
      </c>
      <c r="W21" s="51">
        <f t="shared" si="13"/>
        <v>0</v>
      </c>
      <c r="X21" s="51">
        <f t="shared" si="20"/>
        <v>1</v>
      </c>
      <c r="Y21" s="51">
        <f t="shared" si="21"/>
        <v>1</v>
      </c>
      <c r="Z21" s="51">
        <f t="shared" si="2"/>
        <v>0</v>
      </c>
      <c r="AA21" s="53">
        <f t="shared" si="14"/>
        <v>1.3999999999999999E-2</v>
      </c>
      <c r="AB21" s="54">
        <f t="shared" si="15"/>
        <v>0.46260751957241109</v>
      </c>
      <c r="AC21" s="57">
        <f t="shared" si="16"/>
        <v>0.1322450608349689</v>
      </c>
      <c r="AE21" s="46"/>
      <c r="AF21" s="46"/>
      <c r="AG21">
        <v>0.46538796861377507</v>
      </c>
      <c r="AH21">
        <v>0.3837489102005231</v>
      </c>
      <c r="AI21">
        <v>7.5605928509154319E-2</v>
      </c>
      <c r="AJ21">
        <f t="shared" si="17"/>
        <v>7.5257192676547513E-2</v>
      </c>
      <c r="AL21">
        <v>-3.1212031386224914E-2</v>
      </c>
      <c r="AM21">
        <v>0.11714891020052309</v>
      </c>
      <c r="AO21" t="s">
        <v>151</v>
      </c>
      <c r="AQ21">
        <v>28675</v>
      </c>
      <c r="AR21">
        <f t="shared" si="18"/>
        <v>12310.455905985726</v>
      </c>
      <c r="AS21">
        <f t="shared" si="19"/>
        <v>14796.318103935</v>
      </c>
    </row>
    <row r="22" spans="1:45" x14ac:dyDescent="0.25">
      <c r="A22" s="13" t="s">
        <v>49</v>
      </c>
      <c r="B22" s="47" t="s">
        <v>0</v>
      </c>
      <c r="C22" s="48">
        <f>Output!E$4+(AL22*-0.3)+AG22</f>
        <v>0.46208330967741934</v>
      </c>
      <c r="D22" s="49">
        <f>Output!E$5+(AM22*-0.3)+AH22</f>
        <v>0.39549772125237193</v>
      </c>
      <c r="E22" s="49">
        <f>Output!E$6+AI22</f>
        <v>6.1771881566820279E-2</v>
      </c>
      <c r="F22" s="49">
        <f>Output!E$7+AJ22</f>
        <v>5.3084317104906548E-2</v>
      </c>
      <c r="H22" s="48">
        <f t="shared" si="3"/>
        <v>0.47518060355090497</v>
      </c>
      <c r="I22" s="48">
        <f t="shared" si="4"/>
        <v>0.40670771255275528</v>
      </c>
      <c r="J22" s="48">
        <f t="shared" si="5"/>
        <v>6.3522744385396415E-2</v>
      </c>
      <c r="K22" s="48">
        <f t="shared" si="6"/>
        <v>5.4588939510943291E-2</v>
      </c>
      <c r="M22" s="50">
        <f t="shared" si="7"/>
        <v>0.20286230103460412</v>
      </c>
      <c r="N22" s="50">
        <f t="shared" si="8"/>
        <v>0.32632146137994156</v>
      </c>
      <c r="P22" s="49">
        <f t="shared" si="9"/>
        <v>0.49914101152518825</v>
      </c>
      <c r="Q22" s="49">
        <f t="shared" si="10"/>
        <v>0.44525008984785458</v>
      </c>
      <c r="S22" s="49">
        <f t="shared" si="11"/>
        <v>0.52853209946545565</v>
      </c>
      <c r="T22" s="49">
        <f t="shared" si="12"/>
        <v>0.4714679005345444</v>
      </c>
      <c r="V22" t="s">
        <v>146</v>
      </c>
      <c r="W22" s="51">
        <f t="shared" si="13"/>
        <v>0</v>
      </c>
      <c r="X22" s="51">
        <f t="shared" si="20"/>
        <v>1</v>
      </c>
      <c r="Y22" s="51">
        <f t="shared" si="21"/>
        <v>1</v>
      </c>
      <c r="Z22" s="51">
        <f t="shared" si="2"/>
        <v>0</v>
      </c>
      <c r="AA22" s="53">
        <f t="shared" si="14"/>
        <v>1.3999999999999999E-2</v>
      </c>
      <c r="AB22" s="54">
        <f t="shared" si="15"/>
        <v>0.53699277362275899</v>
      </c>
      <c r="AC22" s="57">
        <f t="shared" si="16"/>
        <v>0.86518464784232063</v>
      </c>
      <c r="AE22" s="46"/>
      <c r="AF22" s="46"/>
      <c r="AG22">
        <v>0.56048387096774188</v>
      </c>
      <c r="AH22">
        <v>0.29459203036053133</v>
      </c>
      <c r="AI22">
        <v>6.2211981566820278E-2</v>
      </c>
      <c r="AJ22">
        <f t="shared" si="17"/>
        <v>8.2712117104906557E-2</v>
      </c>
      <c r="AL22">
        <v>6.3883870967741896E-2</v>
      </c>
      <c r="AM22">
        <v>2.7992030360531328E-2</v>
      </c>
      <c r="AO22" t="s">
        <v>151</v>
      </c>
      <c r="AQ22">
        <v>29512</v>
      </c>
      <c r="AR22">
        <f t="shared" si="18"/>
        <v>14730.649532131356</v>
      </c>
      <c r="AS22">
        <f t="shared" si="19"/>
        <v>13140.220651589885</v>
      </c>
    </row>
    <row r="23" spans="1:45" x14ac:dyDescent="0.25">
      <c r="A23" s="13" t="s">
        <v>50</v>
      </c>
      <c r="B23" s="47" t="s">
        <v>0</v>
      </c>
      <c r="C23" s="48">
        <f>Output!E$4+(AL23*-0.3)+AG23</f>
        <v>0.50605172721621816</v>
      </c>
      <c r="D23" s="49">
        <f>Output!E$5+(AM23*-0.3)+AH23</f>
        <v>0.34046292845235571</v>
      </c>
      <c r="E23" s="49">
        <f>Output!E$6+AI23</f>
        <v>0.10791619017447199</v>
      </c>
      <c r="F23" s="49">
        <f>Output!E$7+AJ23</f>
        <v>2.2749116013279641E-2</v>
      </c>
      <c r="H23" s="48">
        <f t="shared" si="3"/>
        <v>0.51786952963595745</v>
      </c>
      <c r="I23" s="48">
        <f t="shared" si="4"/>
        <v>0.34841374336574238</v>
      </c>
      <c r="J23" s="48">
        <f t="shared" si="5"/>
        <v>0.11043635193814881</v>
      </c>
      <c r="K23" s="48">
        <f t="shared" si="6"/>
        <v>2.3280375060151345E-2</v>
      </c>
      <c r="M23" s="50">
        <f t="shared" si="7"/>
        <v>0.18074446174302611</v>
      </c>
      <c r="N23" s="50">
        <f t="shared" si="8"/>
        <v>0.41228745914125803</v>
      </c>
      <c r="P23" s="49">
        <f t="shared" si="9"/>
        <v>0.5420380874833044</v>
      </c>
      <c r="Q23" s="49">
        <f t="shared" si="10"/>
        <v>0.40354347298455678</v>
      </c>
      <c r="S23" s="49">
        <f t="shared" si="11"/>
        <v>0.57323250594598218</v>
      </c>
      <c r="T23" s="49">
        <f t="shared" si="12"/>
        <v>0.42676749405401776</v>
      </c>
      <c r="V23" t="s">
        <v>135</v>
      </c>
      <c r="W23" s="51">
        <f t="shared" si="13"/>
        <v>0</v>
      </c>
      <c r="X23" s="51">
        <f t="shared" si="20"/>
        <v>0</v>
      </c>
      <c r="Y23" s="51">
        <f t="shared" si="21"/>
        <v>0</v>
      </c>
      <c r="Z23" s="51">
        <f t="shared" si="2"/>
        <v>0</v>
      </c>
      <c r="AA23" s="53">
        <f t="shared" si="14"/>
        <v>0</v>
      </c>
      <c r="AB23" s="54">
        <f t="shared" si="15"/>
        <v>0.56769318010328551</v>
      </c>
      <c r="AC23" s="57">
        <f t="shared" si="16"/>
        <v>0.97831111858040709</v>
      </c>
      <c r="AE23" s="46"/>
      <c r="AF23" s="46"/>
      <c r="AG23">
        <v>0.62329589602316871</v>
      </c>
      <c r="AH23">
        <v>0.2159708977890796</v>
      </c>
      <c r="AI23">
        <v>0.10835629017447199</v>
      </c>
      <c r="AJ23">
        <f t="shared" si="17"/>
        <v>5.2376916013279651E-2</v>
      </c>
      <c r="AL23">
        <v>0.12669589602316872</v>
      </c>
      <c r="AM23">
        <v>-5.0629102210920401E-2</v>
      </c>
      <c r="AO23" t="s">
        <v>151</v>
      </c>
      <c r="AQ23">
        <v>28314</v>
      </c>
      <c r="AR23">
        <f t="shared" si="18"/>
        <v>15347.266409002281</v>
      </c>
      <c r="AS23">
        <f t="shared" si="19"/>
        <v>11425.92989408474</v>
      </c>
    </row>
    <row r="24" spans="1:45" x14ac:dyDescent="0.25">
      <c r="A24" s="13" t="s">
        <v>51</v>
      </c>
      <c r="B24" s="47" t="s">
        <v>0</v>
      </c>
      <c r="C24" s="48">
        <f>Output!E$4+(AL24*-0.3)+AG24</f>
        <v>0.50298759002877602</v>
      </c>
      <c r="D24" s="49">
        <f>Output!E$5+(AM24*-0.3)+AH24</f>
        <v>0.37439003894131029</v>
      </c>
      <c r="E24" s="49">
        <f>Output!E$6+AI24</f>
        <v>7.528097341230007E-2</v>
      </c>
      <c r="F24" s="49">
        <f>Output!E$7+AJ24</f>
        <v>1.1294370916148128E-2</v>
      </c>
      <c r="H24" s="48">
        <f t="shared" si="3"/>
        <v>0.52179681370514497</v>
      </c>
      <c r="I24" s="48">
        <f t="shared" si="4"/>
        <v>0.3883903564923829</v>
      </c>
      <c r="J24" s="48">
        <f t="shared" si="5"/>
        <v>7.8096105824226436E-2</v>
      </c>
      <c r="K24" s="48">
        <f t="shared" si="6"/>
        <v>1.1716723978245649E-2</v>
      </c>
      <c r="M24" s="50">
        <f t="shared" si="7"/>
        <v>0.17441580813791907</v>
      </c>
      <c r="N24" s="50">
        <f t="shared" si="8"/>
        <v>0.43227080181870825</v>
      </c>
      <c r="P24" s="49">
        <f t="shared" si="9"/>
        <v>0.53746159099629653</v>
      </c>
      <c r="Q24" s="49">
        <f t="shared" si="10"/>
        <v>0.42721382044470468</v>
      </c>
      <c r="S24" s="49">
        <f t="shared" si="11"/>
        <v>0.5571424176692279</v>
      </c>
      <c r="T24" s="49">
        <f t="shared" si="12"/>
        <v>0.44285758233077216</v>
      </c>
      <c r="V24" t="s">
        <v>135</v>
      </c>
      <c r="W24" s="51">
        <f t="shared" si="13"/>
        <v>0</v>
      </c>
      <c r="X24" s="51">
        <f t="shared" si="20"/>
        <v>0</v>
      </c>
      <c r="Y24" s="51">
        <f t="shared" si="21"/>
        <v>0</v>
      </c>
      <c r="Z24" s="51">
        <f t="shared" si="2"/>
        <v>0</v>
      </c>
      <c r="AA24" s="53">
        <f t="shared" si="14"/>
        <v>0</v>
      </c>
      <c r="AB24" s="54">
        <f t="shared" si="15"/>
        <v>0.55160309182653122</v>
      </c>
      <c r="AC24" s="57">
        <f t="shared" si="16"/>
        <v>0.93820820330533961</v>
      </c>
      <c r="AE24" s="46"/>
      <c r="AF24" s="46"/>
      <c r="AG24">
        <v>0.61891855718396571</v>
      </c>
      <c r="AH24">
        <v>0.26443819848758615</v>
      </c>
      <c r="AI24">
        <v>7.5721073412300069E-2</v>
      </c>
      <c r="AJ24">
        <f t="shared" si="17"/>
        <v>4.0922170916148137E-2</v>
      </c>
      <c r="AL24">
        <v>0.12231855718396573</v>
      </c>
      <c r="AM24">
        <v>-2.1618015124138523E-3</v>
      </c>
      <c r="AO24" t="s">
        <v>151</v>
      </c>
      <c r="AQ24">
        <v>29886</v>
      </c>
      <c r="AR24">
        <f t="shared" si="18"/>
        <v>16062.577108515317</v>
      </c>
      <c r="AS24">
        <f t="shared" si="19"/>
        <v>12767.712237810445</v>
      </c>
    </row>
    <row r="25" spans="1:45" x14ac:dyDescent="0.25">
      <c r="A25" s="13" t="s">
        <v>122</v>
      </c>
      <c r="B25" s="47" t="s">
        <v>0</v>
      </c>
      <c r="C25" s="48">
        <f>Output!E$4+(AL25*-0.3)+AG25</f>
        <v>0.47784885639726382</v>
      </c>
      <c r="D25" s="49">
        <f>Output!E$5+(AM25*-0.3)+AH25</f>
        <v>0.28839971753230298</v>
      </c>
      <c r="E25" s="49">
        <f>Output!E$6+AI25</f>
        <v>3.9875329440081077E-2</v>
      </c>
      <c r="F25" s="49">
        <f>Output!E$7+AJ25</f>
        <v>0.20545580780339498</v>
      </c>
      <c r="H25" s="48">
        <f t="shared" si="3"/>
        <v>0.47237884579865996</v>
      </c>
      <c r="I25" s="48">
        <f t="shared" si="4"/>
        <v>0.28509836085766327</v>
      </c>
      <c r="J25" s="48">
        <f t="shared" si="5"/>
        <v>3.9418870307156566E-2</v>
      </c>
      <c r="K25" s="48">
        <f t="shared" si="6"/>
        <v>0.20310392303652014</v>
      </c>
      <c r="M25" s="50">
        <f t="shared" si="7"/>
        <v>0.24606129425227893</v>
      </c>
      <c r="N25" s="50">
        <f t="shared" si="8"/>
        <v>0.18071182698633423</v>
      </c>
      <c r="P25" s="49">
        <f t="shared" si="9"/>
        <v>0.53205431821448301</v>
      </c>
      <c r="Q25" s="49">
        <f t="shared" si="10"/>
        <v>0.32892509792862828</v>
      </c>
      <c r="S25" s="49">
        <f t="shared" si="11"/>
        <v>0.61796403983489123</v>
      </c>
      <c r="T25" s="49">
        <f t="shared" si="12"/>
        <v>0.38203596016510882</v>
      </c>
      <c r="V25" t="s">
        <v>138</v>
      </c>
      <c r="W25" s="51">
        <f t="shared" si="13"/>
        <v>0</v>
      </c>
      <c r="X25" s="51">
        <f t="shared" si="20"/>
        <v>0</v>
      </c>
      <c r="Y25" s="51">
        <f t="shared" si="21"/>
        <v>0</v>
      </c>
      <c r="Z25" s="51">
        <f t="shared" si="2"/>
        <v>0</v>
      </c>
      <c r="AA25" s="53">
        <f t="shared" si="14"/>
        <v>0</v>
      </c>
      <c r="AB25" s="54">
        <f t="shared" si="15"/>
        <v>0.61242471399219456</v>
      </c>
      <c r="AC25" s="57">
        <f t="shared" si="16"/>
        <v>0.99960303518752569</v>
      </c>
      <c r="AE25" s="46"/>
      <c r="AF25" s="46"/>
      <c r="AG25">
        <v>0.58300608056751968</v>
      </c>
      <c r="AH25">
        <v>0.14159488218900432</v>
      </c>
      <c r="AI25">
        <v>4.0315429440081076E-2</v>
      </c>
      <c r="AJ25">
        <f t="shared" si="17"/>
        <v>0.23508360780339499</v>
      </c>
      <c r="AL25">
        <v>8.6406080567519694E-2</v>
      </c>
      <c r="AM25">
        <v>-0.12500511781099569</v>
      </c>
      <c r="AO25" t="s">
        <v>29</v>
      </c>
      <c r="AQ25">
        <v>31576</v>
      </c>
      <c r="AR25">
        <f t="shared" si="18"/>
        <v>16800.147151940517</v>
      </c>
      <c r="AS25">
        <f t="shared" si="19"/>
        <v>10386.138892194367</v>
      </c>
    </row>
    <row r="26" spans="1:45" x14ac:dyDescent="0.25">
      <c r="A26" s="13" t="s">
        <v>52</v>
      </c>
      <c r="B26" s="47" t="s">
        <v>0</v>
      </c>
      <c r="C26" s="48">
        <f>Output!E$4+(AL26*-0.3)+AG26</f>
        <v>0.33231149034230872</v>
      </c>
      <c r="D26" s="49">
        <f>Output!E$5+(AM26*-0.3)+AH26</f>
        <v>0.41623479919306888</v>
      </c>
      <c r="E26" s="49">
        <f>Output!E$6+AI26</f>
        <v>5.4558625898241737E-2</v>
      </c>
      <c r="F26" s="49">
        <f>Output!E$7+AJ26</f>
        <v>0.21606148905121889</v>
      </c>
      <c r="H26" s="48">
        <f t="shared" si="3"/>
        <v>0.32606205314458281</v>
      </c>
      <c r="I26" s="48">
        <f t="shared" si="4"/>
        <v>0.40840710345379228</v>
      </c>
      <c r="J26" s="48">
        <f t="shared" si="5"/>
        <v>5.3532598462975908E-2</v>
      </c>
      <c r="K26" s="48">
        <f t="shared" si="6"/>
        <v>0.21199824493864891</v>
      </c>
      <c r="M26" s="50">
        <f t="shared" si="7"/>
        <v>0.22635831458924904</v>
      </c>
      <c r="N26" s="50">
        <f t="shared" si="8"/>
        <v>0.23140759540348427</v>
      </c>
      <c r="P26" s="49">
        <f t="shared" si="9"/>
        <v>0.38616716732843642</v>
      </c>
      <c r="Q26" s="49">
        <f t="shared" si="10"/>
        <v>0.46985295743082139</v>
      </c>
      <c r="S26" s="49">
        <f t="shared" si="11"/>
        <v>0.45111926245547074</v>
      </c>
      <c r="T26" s="49">
        <f t="shared" si="12"/>
        <v>0.54888073754452926</v>
      </c>
      <c r="V26" t="s">
        <v>146</v>
      </c>
      <c r="W26" s="51">
        <f t="shared" si="13"/>
        <v>0</v>
      </c>
      <c r="X26" s="51">
        <f t="shared" si="20"/>
        <v>1</v>
      </c>
      <c r="Y26" s="51">
        <f t="shared" si="21"/>
        <v>1</v>
      </c>
      <c r="Z26" s="51">
        <f t="shared" si="2"/>
        <v>1</v>
      </c>
      <c r="AA26" s="53">
        <f t="shared" si="14"/>
        <v>2.1999999999999999E-2</v>
      </c>
      <c r="AB26" s="54">
        <f t="shared" si="15"/>
        <v>0.46757993661277414</v>
      </c>
      <c r="AC26" s="57">
        <f t="shared" si="16"/>
        <v>0.16665764679476702</v>
      </c>
      <c r="AE26" s="46"/>
      <c r="AF26" s="46"/>
      <c r="AG26">
        <v>0.37509555763186953</v>
      </c>
      <c r="AH26">
        <v>0.32421642741866985</v>
      </c>
      <c r="AI26">
        <v>5.4998725898241736E-2</v>
      </c>
      <c r="AJ26">
        <f t="shared" si="17"/>
        <v>0.2456892890512189</v>
      </c>
      <c r="AL26">
        <v>-0.12150444236813046</v>
      </c>
      <c r="AM26">
        <v>5.7616427418669847E-2</v>
      </c>
      <c r="AO26" t="s">
        <v>29</v>
      </c>
      <c r="AQ26">
        <v>23546</v>
      </c>
      <c r="AR26">
        <f t="shared" si="18"/>
        <v>9092.6921219153646</v>
      </c>
      <c r="AS26">
        <f t="shared" si="19"/>
        <v>11063.15773566612</v>
      </c>
    </row>
    <row r="27" spans="1:45" x14ac:dyDescent="0.25">
      <c r="A27" s="13" t="s">
        <v>53</v>
      </c>
      <c r="B27" s="47" t="s">
        <v>0</v>
      </c>
      <c r="C27" s="48">
        <f>Output!E$4+(AL27*-0.3)+AG27</f>
        <v>0.50299978049856908</v>
      </c>
      <c r="D27" s="49">
        <f>Output!E$5+(AM27*-0.3)+AH27</f>
        <v>0.3285688911457435</v>
      </c>
      <c r="E27" s="49">
        <f>Output!E$6+AI27</f>
        <v>5.9932964855359788E-2</v>
      </c>
      <c r="F27" s="49">
        <f>Output!E$7+AJ27</f>
        <v>9.2083747081336459E-2</v>
      </c>
      <c r="H27" s="48">
        <f t="shared" si="3"/>
        <v>0.51139411879755903</v>
      </c>
      <c r="I27" s="48">
        <f t="shared" si="4"/>
        <v>0.33405223037119514</v>
      </c>
      <c r="J27" s="48">
        <f t="shared" si="5"/>
        <v>6.0933159292340847E-2</v>
      </c>
      <c r="K27" s="48">
        <f t="shared" si="6"/>
        <v>9.362049153890499E-2</v>
      </c>
      <c r="M27" s="50">
        <f t="shared" si="7"/>
        <v>0.22238039082701064</v>
      </c>
      <c r="N27" s="50">
        <f t="shared" si="8"/>
        <v>0.26362492315827712</v>
      </c>
      <c r="P27" s="49">
        <f t="shared" si="9"/>
        <v>0.54576382007315283</v>
      </c>
      <c r="Q27" s="49">
        <f t="shared" si="10"/>
        <v>0.37479642469541352</v>
      </c>
      <c r="S27" s="49">
        <f t="shared" si="11"/>
        <v>0.59286051420823704</v>
      </c>
      <c r="T27" s="49">
        <f t="shared" si="12"/>
        <v>0.4071394857917629</v>
      </c>
      <c r="V27" t="s">
        <v>135</v>
      </c>
      <c r="W27" s="51">
        <f t="shared" si="13"/>
        <v>0</v>
      </c>
      <c r="X27" s="51">
        <f t="shared" si="20"/>
        <v>0</v>
      </c>
      <c r="Y27" s="51">
        <f t="shared" si="21"/>
        <v>0</v>
      </c>
      <c r="Z27" s="51">
        <f t="shared" si="2"/>
        <v>0</v>
      </c>
      <c r="AA27" s="53">
        <f t="shared" si="14"/>
        <v>0</v>
      </c>
      <c r="AB27" s="54">
        <f t="shared" si="15"/>
        <v>0.58732118836554037</v>
      </c>
      <c r="AC27" s="57">
        <f t="shared" si="16"/>
        <v>0.99541673432239663</v>
      </c>
      <c r="AE27" s="46"/>
      <c r="AF27" s="46"/>
      <c r="AG27">
        <v>0.61893597214081297</v>
      </c>
      <c r="AH27">
        <v>0.19897941592249077</v>
      </c>
      <c r="AI27">
        <v>6.0373064855359787E-2</v>
      </c>
      <c r="AJ27">
        <f t="shared" si="17"/>
        <v>0.12171154708133647</v>
      </c>
      <c r="AL27">
        <v>0.12233597214081299</v>
      </c>
      <c r="AM27">
        <v>-6.7620584077509233E-2</v>
      </c>
      <c r="AO27" t="s">
        <v>151</v>
      </c>
      <c r="AQ27">
        <v>29003</v>
      </c>
      <c r="AR27">
        <f t="shared" si="18"/>
        <v>15828.788073581651</v>
      </c>
      <c r="AS27">
        <f t="shared" si="19"/>
        <v>10870.220705441079</v>
      </c>
    </row>
    <row r="28" spans="1:45" x14ac:dyDescent="0.25">
      <c r="A28" s="13" t="s">
        <v>54</v>
      </c>
      <c r="B28" s="47" t="s">
        <v>0</v>
      </c>
      <c r="C28" s="48">
        <f>Output!E$4+(AL28*-0.3)+AG28</f>
        <v>0.48162718742525823</v>
      </c>
      <c r="D28" s="49">
        <f>Output!E$5+(AM28*-0.3)+AH28</f>
        <v>0.34277849840550823</v>
      </c>
      <c r="E28" s="49">
        <f>Output!E$6+AI28</f>
        <v>9.4649590161261093E-2</v>
      </c>
      <c r="F28" s="49">
        <f>Output!E$7+AJ28</f>
        <v>6.7599958651929665E-2</v>
      </c>
      <c r="H28" s="48">
        <f t="shared" si="3"/>
        <v>0.48814131878503381</v>
      </c>
      <c r="I28" s="48">
        <f t="shared" si="4"/>
        <v>0.34741466559917733</v>
      </c>
      <c r="J28" s="48">
        <f t="shared" si="5"/>
        <v>9.5929750167915731E-2</v>
      </c>
      <c r="K28" s="48">
        <f t="shared" si="6"/>
        <v>6.851426544787316E-2</v>
      </c>
      <c r="M28" s="50">
        <f t="shared" si="7"/>
        <v>0.20257579279455931</v>
      </c>
      <c r="N28" s="50">
        <f t="shared" si="8"/>
        <v>0.3324091474904175</v>
      </c>
      <c r="P28" s="49">
        <f t="shared" si="9"/>
        <v>0.52145369561872312</v>
      </c>
      <c r="Q28" s="49">
        <f t="shared" si="10"/>
        <v>0.40207736063992261</v>
      </c>
      <c r="S28" s="49">
        <f t="shared" si="11"/>
        <v>0.56463038474440197</v>
      </c>
      <c r="T28" s="49">
        <f t="shared" si="12"/>
        <v>0.43536961525559797</v>
      </c>
      <c r="V28" t="s">
        <v>135</v>
      </c>
      <c r="W28" s="51">
        <f t="shared" si="13"/>
        <v>0</v>
      </c>
      <c r="X28" s="51">
        <f t="shared" si="20"/>
        <v>0</v>
      </c>
      <c r="Y28" s="51">
        <f t="shared" si="21"/>
        <v>0</v>
      </c>
      <c r="Z28" s="51">
        <f t="shared" si="2"/>
        <v>0</v>
      </c>
      <c r="AA28" s="53">
        <f t="shared" si="14"/>
        <v>0</v>
      </c>
      <c r="AB28" s="54">
        <f t="shared" si="15"/>
        <v>0.5590910589017053</v>
      </c>
      <c r="AC28" s="57">
        <f t="shared" si="16"/>
        <v>0.96107972738432368</v>
      </c>
      <c r="AE28" s="46"/>
      <c r="AF28" s="46"/>
      <c r="AG28">
        <v>0.58840369632179745</v>
      </c>
      <c r="AH28">
        <v>0.21927885486501178</v>
      </c>
      <c r="AI28">
        <v>9.5089690161261092E-2</v>
      </c>
      <c r="AJ28">
        <f t="shared" si="17"/>
        <v>9.7227758651929674E-2</v>
      </c>
      <c r="AL28">
        <v>9.1803696321797468E-2</v>
      </c>
      <c r="AM28">
        <v>-4.7321145134988224E-2</v>
      </c>
      <c r="AO28" t="s">
        <v>151</v>
      </c>
      <c r="AQ28">
        <v>27595</v>
      </c>
      <c r="AR28">
        <f t="shared" si="18"/>
        <v>14389.514730598665</v>
      </c>
      <c r="AS28">
        <f t="shared" si="19"/>
        <v>11095.324766858665</v>
      </c>
    </row>
    <row r="29" spans="1:45" x14ac:dyDescent="0.25">
      <c r="A29" s="13" t="s">
        <v>121</v>
      </c>
      <c r="B29" s="47" t="s">
        <v>153</v>
      </c>
      <c r="C29" s="48">
        <f>Output!E$4+(AL29*-0.3)+AG29</f>
        <v>0.27353355592360606</v>
      </c>
      <c r="D29" s="49">
        <f>Output!E$5+(AM29*-0.3)+AH29</f>
        <v>0.26691462613457329</v>
      </c>
      <c r="E29" s="49">
        <f>Output!E$6+AI29</f>
        <v>4.6825780182915118E-2</v>
      </c>
      <c r="F29" s="49">
        <f>Output!E$7+AJ29</f>
        <v>0.52107734544825735</v>
      </c>
      <c r="H29" s="48">
        <f t="shared" si="3"/>
        <v>0.24679319095482305</v>
      </c>
      <c r="I29" s="48">
        <f t="shared" si="4"/>
        <v>0.24082132107646143</v>
      </c>
      <c r="J29" s="48">
        <f t="shared" si="5"/>
        <v>4.2248139067508933E-2</v>
      </c>
      <c r="K29" s="48">
        <f t="shared" si="6"/>
        <v>0.47013734890120656</v>
      </c>
      <c r="M29" s="50">
        <f t="shared" si="7"/>
        <v>0.24321188393512427</v>
      </c>
      <c r="N29" s="50">
        <f t="shared" si="8"/>
        <v>0.17784305175013032</v>
      </c>
      <c r="P29" s="49">
        <f t="shared" si="9"/>
        <v>0.37141143078471228</v>
      </c>
      <c r="Q29" s="49">
        <f t="shared" si="10"/>
        <v>0.33194551992929749</v>
      </c>
      <c r="S29" s="49">
        <f t="shared" si="11"/>
        <v>0.52805539265329726</v>
      </c>
      <c r="T29" s="49">
        <f t="shared" si="12"/>
        <v>0.47194460734670268</v>
      </c>
      <c r="V29" t="s">
        <v>139</v>
      </c>
      <c r="W29" s="51">
        <f t="shared" si="13"/>
        <v>0</v>
      </c>
      <c r="X29" s="51">
        <f t="shared" si="20"/>
        <v>0</v>
      </c>
      <c r="Y29" s="51">
        <f t="shared" si="21"/>
        <v>0</v>
      </c>
      <c r="Z29" s="51">
        <f t="shared" si="2"/>
        <v>0</v>
      </c>
      <c r="AA29" s="53" t="str">
        <f t="shared" si="14"/>
        <v/>
      </c>
      <c r="AB29" s="54"/>
      <c r="AC29" s="57"/>
      <c r="AE29" s="46"/>
      <c r="AF29" s="46"/>
      <c r="AG29">
        <v>0.29112707989086578</v>
      </c>
      <c r="AH29">
        <v>0.11090189447796181</v>
      </c>
      <c r="AI29">
        <v>4.7265880182915117E-2</v>
      </c>
      <c r="AJ29">
        <f t="shared" si="17"/>
        <v>0.55070514544825733</v>
      </c>
      <c r="AL29">
        <v>-0.20547292010913421</v>
      </c>
      <c r="AM29">
        <v>-0.15569810552203819</v>
      </c>
      <c r="AO29" t="s">
        <v>29</v>
      </c>
      <c r="AQ29">
        <v>26023</v>
      </c>
      <c r="AR29">
        <f t="shared" si="18"/>
        <v>9665.2396633105673</v>
      </c>
      <c r="AS29">
        <f t="shared" si="19"/>
        <v>8638.2182651201092</v>
      </c>
    </row>
    <row r="30" spans="1:45" x14ac:dyDescent="0.25">
      <c r="A30" s="13" t="s">
        <v>55</v>
      </c>
      <c r="B30" s="47" t="s">
        <v>0</v>
      </c>
      <c r="C30" s="48">
        <f>Output!E$4+(AL30*-0.3)+AG30</f>
        <v>0.47223230203794803</v>
      </c>
      <c r="D30" s="49">
        <f>Output!E$5+(AM30*-0.3)+AH30</f>
        <v>0.40698182424455376</v>
      </c>
      <c r="E30" s="49">
        <f>Output!E$6+AI30</f>
        <v>7.1696231693605061E-2</v>
      </c>
      <c r="F30" s="49">
        <f>Output!E$7+AJ30</f>
        <v>1.2255545045678135E-2</v>
      </c>
      <c r="H30" s="48">
        <f t="shared" si="3"/>
        <v>0.49029175613089271</v>
      </c>
      <c r="I30" s="48">
        <f t="shared" si="4"/>
        <v>0.422545921702285</v>
      </c>
      <c r="J30" s="48">
        <f t="shared" si="5"/>
        <v>7.4438091577649454E-2</v>
      </c>
      <c r="K30" s="48">
        <f t="shared" si="6"/>
        <v>1.2724230589172899E-2</v>
      </c>
      <c r="M30" s="50">
        <f t="shared" si="7"/>
        <v>0.1726709468354215</v>
      </c>
      <c r="N30" s="50">
        <f t="shared" si="8"/>
        <v>0.43450143206713826</v>
      </c>
      <c r="P30" s="49">
        <f t="shared" si="9"/>
        <v>0.50534215682781192</v>
      </c>
      <c r="Q30" s="49">
        <f t="shared" si="10"/>
        <v>0.46041807550606656</v>
      </c>
      <c r="S30" s="49">
        <f t="shared" si="11"/>
        <v>0.52325840297502246</v>
      </c>
      <c r="T30" s="49">
        <f t="shared" si="12"/>
        <v>0.47674159702497748</v>
      </c>
      <c r="V30" t="s">
        <v>146</v>
      </c>
      <c r="W30" s="51">
        <f t="shared" si="13"/>
        <v>0</v>
      </c>
      <c r="X30" s="51">
        <f t="shared" si="20"/>
        <v>1</v>
      </c>
      <c r="Y30" s="51">
        <f t="shared" si="21"/>
        <v>1</v>
      </c>
      <c r="Z30" s="51">
        <f t="shared" si="2"/>
        <v>0</v>
      </c>
      <c r="AA30" s="53">
        <f t="shared" si="14"/>
        <v>1.3999999999999999E-2</v>
      </c>
      <c r="AB30" s="54">
        <f t="shared" si="15"/>
        <v>0.5317190771323258</v>
      </c>
      <c r="AC30" s="57">
        <f t="shared" si="16"/>
        <v>0.82806320860382354</v>
      </c>
      <c r="AE30" s="46"/>
      <c r="AF30" s="46"/>
      <c r="AG30">
        <v>0.57498243148278283</v>
      </c>
      <c r="AH30">
        <v>0.31099789177793397</v>
      </c>
      <c r="AI30">
        <v>7.213633169360506E-2</v>
      </c>
      <c r="AJ30">
        <f t="shared" si="17"/>
        <v>4.1883345045678144E-2</v>
      </c>
      <c r="AL30">
        <v>7.8382431482782844E-2</v>
      </c>
      <c r="AM30">
        <v>4.4397891777933962E-2</v>
      </c>
      <c r="AO30" t="s">
        <v>151</v>
      </c>
      <c r="AQ30">
        <v>28460</v>
      </c>
      <c r="AR30">
        <f t="shared" si="18"/>
        <v>14382.037783319527</v>
      </c>
      <c r="AS30">
        <f t="shared" si="19"/>
        <v>13103.498428902654</v>
      </c>
    </row>
    <row r="31" spans="1:45" x14ac:dyDescent="0.25">
      <c r="A31" s="13" t="s">
        <v>120</v>
      </c>
      <c r="B31" s="47" t="s">
        <v>0</v>
      </c>
      <c r="C31" s="48">
        <f>Output!E$4+(AL31*-0.3)+AG31</f>
        <v>0.45024252531120335</v>
      </c>
      <c r="D31" s="49">
        <f>Output!E$5+(AM31*-0.3)+AH31</f>
        <v>0.40907020484562912</v>
      </c>
      <c r="E31" s="49">
        <f>Output!E$6+AI31</f>
        <v>0.14201014263309655</v>
      </c>
      <c r="F31" s="49">
        <f>Output!E$7+AJ31</f>
        <v>-2.962780000000001E-2</v>
      </c>
      <c r="H31" s="48">
        <f t="shared" si="3"/>
        <v>0.44964769860566373</v>
      </c>
      <c r="I31" s="48">
        <f t="shared" si="4"/>
        <v>0.40852977192647166</v>
      </c>
      <c r="J31" s="48">
        <f t="shared" si="5"/>
        <v>0.14182252946786461</v>
      </c>
      <c r="K31" s="48">
        <f t="shared" si="6"/>
        <v>0</v>
      </c>
      <c r="M31" s="50">
        <f t="shared" si="7"/>
        <v>0.15763213210559987</v>
      </c>
      <c r="N31" s="50">
        <f t="shared" si="8"/>
        <v>0.48701703957342957</v>
      </c>
      <c r="P31" s="49">
        <f t="shared" si="9"/>
        <v>0.47200348630629252</v>
      </c>
      <c r="Q31" s="49">
        <f t="shared" si="10"/>
        <v>0.47759976037272656</v>
      </c>
      <c r="S31" s="49">
        <f t="shared" si="11"/>
        <v>0.49705336197722289</v>
      </c>
      <c r="T31" s="49">
        <f t="shared" si="12"/>
        <v>0.50294663802277717</v>
      </c>
      <c r="V31" t="s">
        <v>146</v>
      </c>
      <c r="W31" s="51">
        <f t="shared" si="13"/>
        <v>0</v>
      </c>
      <c r="X31" s="51">
        <f t="shared" si="20"/>
        <v>1</v>
      </c>
      <c r="Y31" s="51">
        <f t="shared" si="21"/>
        <v>1</v>
      </c>
      <c r="Z31" s="51">
        <f t="shared" si="2"/>
        <v>0</v>
      </c>
      <c r="AA31" s="53">
        <f t="shared" si="14"/>
        <v>1.3999999999999999E-2</v>
      </c>
      <c r="AB31" s="54">
        <f t="shared" si="15"/>
        <v>0.50551403613452617</v>
      </c>
      <c r="AC31" s="57">
        <f t="shared" si="16"/>
        <v>0.5653493894103927</v>
      </c>
      <c r="AE31" s="46"/>
      <c r="AF31" s="46"/>
      <c r="AG31">
        <v>0.54356846473029041</v>
      </c>
      <c r="AH31">
        <v>0.31398129263661301</v>
      </c>
      <c r="AI31">
        <v>0.14245024263309655</v>
      </c>
      <c r="AJ31">
        <f t="shared" si="17"/>
        <v>0</v>
      </c>
      <c r="AL31">
        <v>4.6968464730290427E-2</v>
      </c>
      <c r="AM31">
        <v>4.7381292636613004E-2</v>
      </c>
      <c r="AO31" t="s">
        <v>151</v>
      </c>
      <c r="AQ31">
        <v>28438</v>
      </c>
      <c r="AR31">
        <f t="shared" si="18"/>
        <v>13422.835143578346</v>
      </c>
      <c r="AS31">
        <f t="shared" si="19"/>
        <v>13581.981985479597</v>
      </c>
    </row>
    <row r="32" spans="1:45" x14ac:dyDescent="0.25">
      <c r="A32" s="13" t="s">
        <v>56</v>
      </c>
      <c r="B32" s="47" t="s">
        <v>0</v>
      </c>
      <c r="C32" s="48">
        <f>Output!E$4+(AL32*-0.3)+AG32</f>
        <v>0.45587691552162857</v>
      </c>
      <c r="D32" s="49">
        <f>Output!E$5+(AM32*-0.3)+AH32</f>
        <v>0.34930874529262085</v>
      </c>
      <c r="E32" s="49">
        <f>Output!E$6+AI32</f>
        <v>5.5394142093784078E-2</v>
      </c>
      <c r="F32" s="49">
        <f>Output!E$7+AJ32</f>
        <v>0.1343125853144311</v>
      </c>
      <c r="H32" s="48">
        <f t="shared" si="3"/>
        <v>0.45821731165933038</v>
      </c>
      <c r="I32" s="48">
        <f t="shared" si="4"/>
        <v>0.35110203819803781</v>
      </c>
      <c r="J32" s="48">
        <f t="shared" si="5"/>
        <v>5.5678526390934228E-2</v>
      </c>
      <c r="K32" s="48">
        <f t="shared" si="6"/>
        <v>0.13500212375169757</v>
      </c>
      <c r="M32" s="50">
        <f t="shared" si="7"/>
        <v>0.22864978846062942</v>
      </c>
      <c r="N32" s="50">
        <f t="shared" si="8"/>
        <v>0.23680696170090892</v>
      </c>
      <c r="P32" s="49">
        <f t="shared" si="9"/>
        <v>0.50181640197797839</v>
      </c>
      <c r="Q32" s="49">
        <f t="shared" si="10"/>
        <v>0.39625654361346846</v>
      </c>
      <c r="S32" s="49">
        <f t="shared" si="11"/>
        <v>0.55877020284526613</v>
      </c>
      <c r="T32" s="49">
        <f t="shared" si="12"/>
        <v>0.44122979715473387</v>
      </c>
      <c r="V32" t="s">
        <v>140</v>
      </c>
      <c r="W32" s="51">
        <v>1</v>
      </c>
      <c r="X32" s="51">
        <f t="shared" si="20"/>
        <v>0</v>
      </c>
      <c r="Y32" s="51">
        <f t="shared" si="21"/>
        <v>0</v>
      </c>
      <c r="Z32" s="51">
        <f t="shared" si="2"/>
        <v>0</v>
      </c>
      <c r="AA32" s="53">
        <f t="shared" si="14"/>
        <v>-0.01</v>
      </c>
      <c r="AB32" s="54">
        <f t="shared" si="15"/>
        <v>0.54323087700256945</v>
      </c>
      <c r="AC32" s="57">
        <f t="shared" si="16"/>
        <v>0.90148624571537506</v>
      </c>
      <c r="AE32" s="46"/>
      <c r="AF32" s="46"/>
      <c r="AG32">
        <v>0.55161759360232643</v>
      </c>
      <c r="AH32">
        <v>0.22860777898945839</v>
      </c>
      <c r="AI32">
        <v>5.5834242093784077E-2</v>
      </c>
      <c r="AJ32">
        <f t="shared" si="17"/>
        <v>0.16394038531443111</v>
      </c>
      <c r="AL32">
        <v>5.5017593602326442E-2</v>
      </c>
      <c r="AM32">
        <v>-3.7992221010541616E-2</v>
      </c>
      <c r="AO32" t="s">
        <v>151</v>
      </c>
      <c r="AQ32">
        <v>27510</v>
      </c>
      <c r="AR32">
        <f t="shared" si="18"/>
        <v>13804.969218414186</v>
      </c>
      <c r="AS32">
        <f t="shared" si="19"/>
        <v>10901.017514806517</v>
      </c>
    </row>
    <row r="33" spans="1:45" x14ac:dyDescent="0.25">
      <c r="A33" s="13" t="s">
        <v>57</v>
      </c>
      <c r="B33" s="47" t="s">
        <v>153</v>
      </c>
      <c r="C33" s="48">
        <f>Output!E$4+(AL33*-0.3)+AG33</f>
        <v>0.14574599689191553</v>
      </c>
      <c r="D33" s="49">
        <f>Output!E$5+(AM33*-0.3)+AH33</f>
        <v>0.39362414162737908</v>
      </c>
      <c r="E33" s="49">
        <f>Output!E$6+AI33</f>
        <v>2.058312332809499E-2</v>
      </c>
      <c r="F33" s="49">
        <f>Output!E$7+AJ33</f>
        <v>0.54886006450148417</v>
      </c>
      <c r="H33" s="48">
        <f t="shared" si="3"/>
        <v>0.13144322261334226</v>
      </c>
      <c r="I33" s="48">
        <f t="shared" si="4"/>
        <v>0.35499586113698128</v>
      </c>
      <c r="J33" s="48">
        <f t="shared" si="5"/>
        <v>1.8563199809179403E-2</v>
      </c>
      <c r="K33" s="48">
        <f t="shared" si="6"/>
        <v>0.49499771644049712</v>
      </c>
      <c r="M33" s="50">
        <f t="shared" si="7"/>
        <v>0.22661527567949097</v>
      </c>
      <c r="N33" s="50">
        <f t="shared" si="8"/>
        <v>0.21112104728020531</v>
      </c>
      <c r="P33" s="49">
        <f t="shared" si="9"/>
        <v>0.24782397122747468</v>
      </c>
      <c r="Q33" s="49">
        <f t="shared" si="10"/>
        <v>0.46341937961779478</v>
      </c>
      <c r="S33" s="49">
        <f t="shared" si="11"/>
        <v>0.34843766332992915</v>
      </c>
      <c r="T33" s="49">
        <f t="shared" si="12"/>
        <v>0.6515623366700708</v>
      </c>
      <c r="V33" t="s">
        <v>138</v>
      </c>
      <c r="W33" s="51">
        <f t="shared" si="13"/>
        <v>0</v>
      </c>
      <c r="X33" s="51">
        <f t="shared" si="20"/>
        <v>0</v>
      </c>
      <c r="Y33" s="51">
        <f t="shared" si="21"/>
        <v>0</v>
      </c>
      <c r="Z33" s="51">
        <f t="shared" si="2"/>
        <v>0</v>
      </c>
      <c r="AA33" s="53">
        <v>0</v>
      </c>
      <c r="AB33" s="54">
        <f t="shared" si="15"/>
        <v>0.34289833748723253</v>
      </c>
      <c r="AC33" s="57">
        <f t="shared" si="16"/>
        <v>1.3786190925513253E-6</v>
      </c>
      <c r="AE33" s="46"/>
      <c r="AF33" s="46"/>
      <c r="AG33">
        <v>0.10857342413130784</v>
      </c>
      <c r="AH33">
        <v>0.29191548803911299</v>
      </c>
      <c r="AI33">
        <v>2.1023223328094989E-2</v>
      </c>
      <c r="AJ33">
        <f t="shared" si="17"/>
        <v>0.57848786450148415</v>
      </c>
      <c r="AL33">
        <v>-0.38802657586869216</v>
      </c>
      <c r="AM33">
        <v>2.5315488039112988E-2</v>
      </c>
      <c r="AO33" t="s">
        <v>29</v>
      </c>
      <c r="AQ33">
        <v>28635</v>
      </c>
      <c r="AR33">
        <f t="shared" si="18"/>
        <v>7096.4394160987376</v>
      </c>
      <c r="AS33">
        <f t="shared" si="19"/>
        <v>13270.013935355553</v>
      </c>
    </row>
    <row r="34" spans="1:45" x14ac:dyDescent="0.25">
      <c r="A34" s="13" t="s">
        <v>58</v>
      </c>
      <c r="B34" s="47" t="s">
        <v>0</v>
      </c>
      <c r="C34" s="48">
        <f>Output!E$4+(AL34*-0.3)+AG34</f>
        <v>0.46072230756538529</v>
      </c>
      <c r="D34" s="49">
        <f>Output!E$5+(AM34*-0.3)+AH34</f>
        <v>0.31294136564858699</v>
      </c>
      <c r="E34" s="49">
        <f>Output!E$6+AI34</f>
        <v>0.15595800426540285</v>
      </c>
      <c r="F34" s="49">
        <f>Output!E$7+AJ34</f>
        <v>7.8780134000351193E-2</v>
      </c>
      <c r="H34" s="48">
        <f t="shared" si="3"/>
        <v>0.45688365720934443</v>
      </c>
      <c r="I34" s="48">
        <f t="shared" si="4"/>
        <v>0.31033399790246069</v>
      </c>
      <c r="J34" s="48">
        <f t="shared" si="5"/>
        <v>0.154658591932268</v>
      </c>
      <c r="K34" s="48">
        <f t="shared" si="6"/>
        <v>7.8123752955926773E-2</v>
      </c>
      <c r="M34" s="50">
        <f t="shared" si="7"/>
        <v>0.19588295847791745</v>
      </c>
      <c r="N34" s="50">
        <f t="shared" si="8"/>
        <v>0.35769197021752941</v>
      </c>
      <c r="P34" s="49">
        <f t="shared" si="9"/>
        <v>0.50248175160747099</v>
      </c>
      <c r="Q34" s="49">
        <f t="shared" si="10"/>
        <v>0.39359837347737553</v>
      </c>
      <c r="S34" s="49">
        <f t="shared" si="11"/>
        <v>0.56075538061944274</v>
      </c>
      <c r="T34" s="49">
        <f t="shared" si="12"/>
        <v>0.43924461938055726</v>
      </c>
      <c r="V34" t="s">
        <v>135</v>
      </c>
      <c r="W34" s="51">
        <f t="shared" si="13"/>
        <v>0</v>
      </c>
      <c r="X34" s="51">
        <f t="shared" si="20"/>
        <v>0</v>
      </c>
      <c r="Y34" s="51">
        <f t="shared" si="21"/>
        <v>0</v>
      </c>
      <c r="Z34" s="51">
        <f t="shared" si="2"/>
        <v>0</v>
      </c>
      <c r="AA34" s="53">
        <f t="shared" si="14"/>
        <v>0</v>
      </c>
      <c r="AB34" s="54">
        <f t="shared" si="15"/>
        <v>0.55521605477674607</v>
      </c>
      <c r="AC34" s="57">
        <f t="shared" si="16"/>
        <v>0.95029495665649089</v>
      </c>
      <c r="AE34" s="46"/>
      <c r="AF34" s="46"/>
      <c r="AG34">
        <v>0.55853958223626465</v>
      </c>
      <c r="AH34">
        <v>0.17665437949798141</v>
      </c>
      <c r="AI34">
        <v>0.15639810426540285</v>
      </c>
      <c r="AJ34">
        <f t="shared" si="17"/>
        <v>0.1084079340003512</v>
      </c>
      <c r="AL34">
        <v>6.1939582236264668E-2</v>
      </c>
      <c r="AM34">
        <v>-8.9945620502018597E-2</v>
      </c>
      <c r="AO34" t="s">
        <v>151</v>
      </c>
      <c r="AQ34">
        <v>28485</v>
      </c>
      <c r="AR34">
        <f t="shared" si="18"/>
        <v>14313.192694538811</v>
      </c>
      <c r="AS34">
        <f t="shared" si="19"/>
        <v>11211.649668503042</v>
      </c>
    </row>
    <row r="35" spans="1:45" x14ac:dyDescent="0.25">
      <c r="A35" s="13" t="s">
        <v>59</v>
      </c>
      <c r="B35" s="47" t="s">
        <v>0</v>
      </c>
      <c r="C35" s="48">
        <f>Output!E$4+(AL35*-0.3)+AG35</f>
        <v>0.40480573185445501</v>
      </c>
      <c r="D35" s="49">
        <f>Output!E$5+(AM35*-0.3)+AH35</f>
        <v>0.46379461122336918</v>
      </c>
      <c r="E35" s="49">
        <f>Output!E$6+AI35</f>
        <v>0.12874212417453693</v>
      </c>
      <c r="F35" s="49">
        <f>Output!E$7+AJ35</f>
        <v>-2.962780000000001E-2</v>
      </c>
      <c r="H35" s="48">
        <f t="shared" si="3"/>
        <v>0.40588438289375034</v>
      </c>
      <c r="I35" s="48">
        <f t="shared" si="4"/>
        <v>0.46503044485923167</v>
      </c>
      <c r="J35" s="48">
        <f t="shared" si="5"/>
        <v>0.12908517224701799</v>
      </c>
      <c r="K35" s="48">
        <f t="shared" si="6"/>
        <v>0</v>
      </c>
      <c r="M35" s="50">
        <f t="shared" si="7"/>
        <v>0.15247789074936907</v>
      </c>
      <c r="N35" s="50">
        <f t="shared" si="8"/>
        <v>0.4990629070127105</v>
      </c>
      <c r="P35" s="49">
        <f t="shared" si="9"/>
        <v>0.42556701768499461</v>
      </c>
      <c r="Q35" s="49">
        <f t="shared" si="10"/>
        <v>0.52945206617306495</v>
      </c>
      <c r="S35" s="49">
        <f t="shared" si="11"/>
        <v>0.44561100911805951</v>
      </c>
      <c r="T35" s="49">
        <f t="shared" si="12"/>
        <v>0.55438899088194049</v>
      </c>
      <c r="V35" t="s">
        <v>146</v>
      </c>
      <c r="W35" s="51">
        <f t="shared" si="13"/>
        <v>0</v>
      </c>
      <c r="X35" s="51">
        <f t="shared" si="20"/>
        <v>1</v>
      </c>
      <c r="Y35" s="51">
        <f t="shared" si="21"/>
        <v>1</v>
      </c>
      <c r="Z35" s="51">
        <f t="shared" ref="Z35:Z66" si="22">IF(Y35=1,IF(AO35="SEQ",0,1),0)</f>
        <v>0</v>
      </c>
      <c r="AA35" s="53">
        <f t="shared" si="14"/>
        <v>1.3999999999999999E-2</v>
      </c>
      <c r="AB35" s="54">
        <f t="shared" si="15"/>
        <v>0.4540716832753629</v>
      </c>
      <c r="AC35" s="57">
        <f t="shared" si="16"/>
        <v>8.5255790571986401E-2</v>
      </c>
      <c r="AE35" s="46"/>
      <c r="AF35" s="46"/>
      <c r="AG35">
        <v>0.4786587597920785</v>
      </c>
      <c r="AH35">
        <v>0.3921590160333846</v>
      </c>
      <c r="AI35">
        <v>0.12918222417453692</v>
      </c>
      <c r="AJ35">
        <f t="shared" si="17"/>
        <v>0</v>
      </c>
      <c r="AL35">
        <v>-1.7941240207921483E-2</v>
      </c>
      <c r="AM35">
        <v>0.1255590160333846</v>
      </c>
      <c r="AO35" t="s">
        <v>151</v>
      </c>
      <c r="AQ35">
        <v>27318</v>
      </c>
      <c r="AR35">
        <f t="shared" si="18"/>
        <v>11625.639789118683</v>
      </c>
      <c r="AS35">
        <f t="shared" si="19"/>
        <v>14463.571543715789</v>
      </c>
    </row>
    <row r="36" spans="1:45" x14ac:dyDescent="0.25">
      <c r="A36" s="13" t="s">
        <v>60</v>
      </c>
      <c r="B36" s="47" t="s">
        <v>0</v>
      </c>
      <c r="C36" s="48">
        <f>Output!E$4+(AL36*-0.3)+AG36</f>
        <v>0.48343990698659145</v>
      </c>
      <c r="D36" s="49">
        <f>Output!E$5+(AM36*-0.3)+AH36</f>
        <v>0.31185740021171487</v>
      </c>
      <c r="E36" s="49">
        <f>Output!E$6+AI36</f>
        <v>2.6774084897671139E-2</v>
      </c>
      <c r="F36" s="49">
        <f>Output!E$7+AJ36</f>
        <v>0.17705886196189133</v>
      </c>
      <c r="H36" s="48">
        <f t="shared" si="3"/>
        <v>0.48386074290428904</v>
      </c>
      <c r="I36" s="48">
        <f t="shared" si="4"/>
        <v>0.31212887303245684</v>
      </c>
      <c r="J36" s="48">
        <f t="shared" si="5"/>
        <v>2.6797391820466688E-2</v>
      </c>
      <c r="K36" s="48">
        <f t="shared" si="6"/>
        <v>0.17721299224278741</v>
      </c>
      <c r="M36" s="50">
        <f t="shared" si="7"/>
        <v>0.24762217106956602</v>
      </c>
      <c r="N36" s="50">
        <f t="shared" si="8"/>
        <v>0.17335377704301563</v>
      </c>
      <c r="P36" s="49">
        <f t="shared" si="9"/>
        <v>0.53437823712676802</v>
      </c>
      <c r="Q36" s="49">
        <f t="shared" si="10"/>
        <v>0.34749484366581818</v>
      </c>
      <c r="S36" s="49">
        <f t="shared" si="11"/>
        <v>0.60595821413042106</v>
      </c>
      <c r="T36" s="49">
        <f t="shared" si="12"/>
        <v>0.394041785869579</v>
      </c>
      <c r="V36" t="s">
        <v>137</v>
      </c>
      <c r="W36" s="51">
        <f t="shared" si="13"/>
        <v>1</v>
      </c>
      <c r="X36" s="51">
        <f t="shared" si="20"/>
        <v>0</v>
      </c>
      <c r="Y36" s="51">
        <f t="shared" si="21"/>
        <v>0</v>
      </c>
      <c r="Z36" s="51">
        <f t="shared" si="22"/>
        <v>0</v>
      </c>
      <c r="AA36" s="53">
        <f t="shared" si="14"/>
        <v>-0.01</v>
      </c>
      <c r="AB36" s="54">
        <f t="shared" si="15"/>
        <v>0.59041888828772437</v>
      </c>
      <c r="AC36" s="57">
        <f t="shared" si="16"/>
        <v>0.99651442691984771</v>
      </c>
      <c r="AE36" s="46"/>
      <c r="AF36" s="46"/>
      <c r="AG36">
        <v>0.59099329569513059</v>
      </c>
      <c r="AH36">
        <v>0.17510585744530699</v>
      </c>
      <c r="AI36">
        <v>2.7214184897671138E-2</v>
      </c>
      <c r="AJ36">
        <f t="shared" si="17"/>
        <v>0.20668666196189134</v>
      </c>
      <c r="AL36">
        <v>9.4393295695130608E-2</v>
      </c>
      <c r="AM36">
        <v>-9.1494142554693014E-2</v>
      </c>
      <c r="AO36" t="s">
        <v>29</v>
      </c>
      <c r="AQ36">
        <v>22672</v>
      </c>
      <c r="AR36">
        <f t="shared" si="18"/>
        <v>12115.423392138084</v>
      </c>
      <c r="AS36">
        <f t="shared" si="19"/>
        <v>7878.4030955914295</v>
      </c>
    </row>
    <row r="37" spans="1:45" x14ac:dyDescent="0.25">
      <c r="A37" s="13" t="s">
        <v>61</v>
      </c>
      <c r="B37" s="47" t="s">
        <v>0</v>
      </c>
      <c r="C37" s="48">
        <f>Output!E$4+(AL37*-0.3)+AG37</f>
        <v>0.44093766773750404</v>
      </c>
      <c r="D37" s="49">
        <f>Output!E$5+(AM37*-0.3)+AH37</f>
        <v>0.27496789614639472</v>
      </c>
      <c r="E37" s="49">
        <f>Output!E$6+AI37</f>
        <v>8.4451935647609985E-2</v>
      </c>
      <c r="F37" s="49">
        <f>Output!E$7+AJ37</f>
        <v>0.23279778737539189</v>
      </c>
      <c r="H37" s="48">
        <f t="shared" si="3"/>
        <v>0.42678740875207632</v>
      </c>
      <c r="I37" s="48">
        <f t="shared" si="4"/>
        <v>0.2661438213897197</v>
      </c>
      <c r="J37" s="48">
        <f t="shared" si="5"/>
        <v>8.174176400959568E-2</v>
      </c>
      <c r="K37" s="48">
        <f t="shared" si="6"/>
        <v>0.22532700584860843</v>
      </c>
      <c r="M37" s="50">
        <f t="shared" si="7"/>
        <v>0.23552750329167904</v>
      </c>
      <c r="N37" s="50">
        <f t="shared" si="8"/>
        <v>0.21766374266571978</v>
      </c>
      <c r="P37" s="49">
        <f t="shared" si="9"/>
        <v>0.49911054945562633</v>
      </c>
      <c r="Q37" s="49">
        <f t="shared" si="10"/>
        <v>0.33298155909281496</v>
      </c>
      <c r="S37" s="49">
        <f t="shared" si="11"/>
        <v>0.59982608214649347</v>
      </c>
      <c r="T37" s="49">
        <f t="shared" si="12"/>
        <v>0.40017391785350648</v>
      </c>
      <c r="V37" t="s">
        <v>137</v>
      </c>
      <c r="W37" s="51">
        <f t="shared" si="13"/>
        <v>1</v>
      </c>
      <c r="X37" s="51">
        <f t="shared" si="20"/>
        <v>0</v>
      </c>
      <c r="Y37" s="51">
        <f t="shared" si="21"/>
        <v>0</v>
      </c>
      <c r="Z37" s="51">
        <f t="shared" si="22"/>
        <v>0</v>
      </c>
      <c r="AA37" s="53">
        <f t="shared" si="14"/>
        <v>-0.01</v>
      </c>
      <c r="AB37" s="54">
        <f t="shared" si="15"/>
        <v>0.58428675630379678</v>
      </c>
      <c r="AC37" s="57">
        <f t="shared" si="16"/>
        <v>0.99405223773262497</v>
      </c>
      <c r="AE37" s="46"/>
      <c r="AF37" s="46"/>
      <c r="AG37">
        <v>0.53027581105357713</v>
      </c>
      <c r="AH37">
        <v>0.12240656592342104</v>
      </c>
      <c r="AI37">
        <v>8.4892035647609984E-2</v>
      </c>
      <c r="AJ37">
        <f t="shared" si="17"/>
        <v>0.2624255873753919</v>
      </c>
      <c r="AL37">
        <v>3.3675811053577143E-2</v>
      </c>
      <c r="AM37">
        <v>-0.14419343407657897</v>
      </c>
      <c r="AO37" t="s">
        <v>29</v>
      </c>
      <c r="AQ37">
        <v>28389</v>
      </c>
      <c r="AR37">
        <f t="shared" si="18"/>
        <v>14169.249388495777</v>
      </c>
      <c r="AS37">
        <f t="shared" si="19"/>
        <v>9453.0134810859236</v>
      </c>
    </row>
    <row r="38" spans="1:45" x14ac:dyDescent="0.25">
      <c r="A38" s="13" t="s">
        <v>62</v>
      </c>
      <c r="B38" s="47" t="s">
        <v>0</v>
      </c>
      <c r="C38" s="48">
        <f>Output!E$4+(AL38*-0.3)+AG38</f>
        <v>0.4843473489104928</v>
      </c>
      <c r="D38" s="49">
        <f>Output!E$5+(AM38*-0.3)+AH38</f>
        <v>0.3377077049614482</v>
      </c>
      <c r="E38" s="49">
        <f>Output!E$6+AI38</f>
        <v>3.4055374354676503E-2</v>
      </c>
      <c r="F38" s="49">
        <f>Output!E$7+AJ38</f>
        <v>0.13155222011397924</v>
      </c>
      <c r="H38" s="48">
        <f t="shared" si="3"/>
        <v>0.49039755601192381</v>
      </c>
      <c r="I38" s="48">
        <f t="shared" si="4"/>
        <v>0.3419261683418337</v>
      </c>
      <c r="J38" s="48">
        <f t="shared" si="5"/>
        <v>3.4480775811350173E-2</v>
      </c>
      <c r="K38" s="48">
        <f t="shared" si="6"/>
        <v>0.13319549983489229</v>
      </c>
      <c r="M38" s="50">
        <f t="shared" si="7"/>
        <v>0.23890228752646012</v>
      </c>
      <c r="N38" s="50">
        <f t="shared" si="8"/>
        <v>0.20257118198794988</v>
      </c>
      <c r="P38" s="49">
        <f t="shared" si="9"/>
        <v>0.53045580182772845</v>
      </c>
      <c r="Q38" s="49">
        <f t="shared" si="10"/>
        <v>0.3758925496908303</v>
      </c>
      <c r="S38" s="49">
        <f t="shared" si="11"/>
        <v>0.58526702336796455</v>
      </c>
      <c r="T38" s="49">
        <f t="shared" si="12"/>
        <v>0.41473297663203545</v>
      </c>
      <c r="V38" t="s">
        <v>135</v>
      </c>
      <c r="W38" s="51">
        <f t="shared" si="13"/>
        <v>0</v>
      </c>
      <c r="X38" s="51">
        <f t="shared" si="20"/>
        <v>0</v>
      </c>
      <c r="Y38" s="51">
        <f t="shared" si="21"/>
        <v>0</v>
      </c>
      <c r="Z38" s="51">
        <f t="shared" si="22"/>
        <v>0</v>
      </c>
      <c r="AA38" s="53">
        <f t="shared" si="14"/>
        <v>0</v>
      </c>
      <c r="AB38" s="54">
        <f t="shared" si="15"/>
        <v>0.57972769752526787</v>
      </c>
      <c r="AC38" s="57">
        <f t="shared" si="16"/>
        <v>0.99132440383813025</v>
      </c>
      <c r="AE38" s="46"/>
      <c r="AF38" s="46"/>
      <c r="AG38">
        <v>0.59228964130070394</v>
      </c>
      <c r="AH38">
        <v>0.2120348642306403</v>
      </c>
      <c r="AI38">
        <v>3.4495474354676502E-2</v>
      </c>
      <c r="AJ38">
        <f t="shared" si="17"/>
        <v>0.16118002011397925</v>
      </c>
      <c r="AL38">
        <v>9.5689641300703954E-2</v>
      </c>
      <c r="AM38">
        <v>-5.4565135769359702E-2</v>
      </c>
      <c r="AO38" t="s">
        <v>29</v>
      </c>
      <c r="AQ38">
        <v>29830</v>
      </c>
      <c r="AR38">
        <f t="shared" si="18"/>
        <v>15823.496568521139</v>
      </c>
      <c r="AS38">
        <f t="shared" si="19"/>
        <v>11212.874757277468</v>
      </c>
    </row>
    <row r="39" spans="1:45" x14ac:dyDescent="0.25">
      <c r="A39" s="13" t="s">
        <v>63</v>
      </c>
      <c r="B39" s="47" t="s">
        <v>0</v>
      </c>
      <c r="C39" s="48">
        <f>Output!E$4+(AL39*-0.3)+AG39</f>
        <v>0.37804691786859274</v>
      </c>
      <c r="D39" s="49">
        <f>Output!E$5+(AM39*-0.3)+AH39</f>
        <v>0.30512882456056306</v>
      </c>
      <c r="E39" s="49">
        <f>Output!E$6+AI39</f>
        <v>3.1508899520949256E-2</v>
      </c>
      <c r="F39" s="49">
        <f>Output!E$7+AJ39</f>
        <v>0.33249771129454253</v>
      </c>
      <c r="H39" s="48">
        <f t="shared" si="3"/>
        <v>0.36101345357590425</v>
      </c>
      <c r="I39" s="48">
        <f t="shared" si="4"/>
        <v>0.2913807930539844</v>
      </c>
      <c r="J39" s="48">
        <f t="shared" si="5"/>
        <v>3.0089219344959683E-2</v>
      </c>
      <c r="K39" s="48">
        <f t="shared" si="6"/>
        <v>0.31751653402515168</v>
      </c>
      <c r="M39" s="50">
        <f t="shared" si="7"/>
        <v>0.24702633671217678</v>
      </c>
      <c r="N39" s="50">
        <f t="shared" si="8"/>
        <v>0.1694170784175405</v>
      </c>
      <c r="P39" s="49">
        <f t="shared" si="9"/>
        <v>0.44688122945099928</v>
      </c>
      <c r="Q39" s="49">
        <f t="shared" si="10"/>
        <v>0.3502711442310768</v>
      </c>
      <c r="S39" s="49">
        <f t="shared" si="11"/>
        <v>0.56059700027842674</v>
      </c>
      <c r="T39" s="49">
        <f t="shared" si="12"/>
        <v>0.43940299972157337</v>
      </c>
      <c r="V39" t="s">
        <v>135</v>
      </c>
      <c r="W39" s="51">
        <f t="shared" si="13"/>
        <v>0</v>
      </c>
      <c r="X39" s="51">
        <f t="shared" si="20"/>
        <v>0</v>
      </c>
      <c r="Y39" s="51">
        <f t="shared" si="21"/>
        <v>0</v>
      </c>
      <c r="Z39" s="51">
        <f t="shared" si="22"/>
        <v>0</v>
      </c>
      <c r="AA39" s="53">
        <f t="shared" si="14"/>
        <v>0</v>
      </c>
      <c r="AB39" s="54">
        <f t="shared" si="15"/>
        <v>0.55505767443573006</v>
      </c>
      <c r="AC39" s="57">
        <f t="shared" si="16"/>
        <v>0.94980791163092204</v>
      </c>
      <c r="AE39" s="46"/>
      <c r="AF39" s="46"/>
      <c r="AG39">
        <v>0.44043188266941813</v>
      </c>
      <c r="AH39">
        <v>0.1654936065150901</v>
      </c>
      <c r="AI39">
        <v>3.1948999520949255E-2</v>
      </c>
      <c r="AJ39">
        <f t="shared" si="17"/>
        <v>0.36212551129454251</v>
      </c>
      <c r="AL39">
        <v>-5.6168117330581857E-2</v>
      </c>
      <c r="AM39">
        <v>-0.10110639348490991</v>
      </c>
      <c r="AO39" t="s">
        <v>29</v>
      </c>
      <c r="AQ39">
        <v>27137</v>
      </c>
      <c r="AR39">
        <f t="shared" si="18"/>
        <v>12127.015923611767</v>
      </c>
      <c r="AS39">
        <f t="shared" si="19"/>
        <v>9505.3080409987306</v>
      </c>
    </row>
    <row r="40" spans="1:45" x14ac:dyDescent="0.25">
      <c r="A40" s="13" t="s">
        <v>64</v>
      </c>
      <c r="B40" s="47" t="s">
        <v>1</v>
      </c>
      <c r="C40" s="48">
        <f>Output!E$4+(AL40*-0.3)+AG40</f>
        <v>0.31516732482498655</v>
      </c>
      <c r="D40" s="49">
        <f>Output!E$5+(AM40*-0.3)+AH40</f>
        <v>0.51281587942918683</v>
      </c>
      <c r="E40" s="49">
        <f>Output!E$6+AI40</f>
        <v>7.1642367882144786E-2</v>
      </c>
      <c r="F40" s="49">
        <f>Output!E$7+AJ40</f>
        <v>8.5496440326178952E-2</v>
      </c>
      <c r="H40" s="48">
        <f t="shared" si="3"/>
        <v>0.31992719768505296</v>
      </c>
      <c r="I40" s="48">
        <f t="shared" si="4"/>
        <v>0.52056077616955021</v>
      </c>
      <c r="J40" s="48">
        <f t="shared" si="5"/>
        <v>7.2724360003956517E-2</v>
      </c>
      <c r="K40" s="48">
        <f t="shared" si="6"/>
        <v>8.6787666141440248E-2</v>
      </c>
      <c r="M40" s="50">
        <f t="shared" si="7"/>
        <v>0.19656518440740403</v>
      </c>
      <c r="N40" s="50">
        <f t="shared" si="8"/>
        <v>0.33129386998738797</v>
      </c>
      <c r="P40" s="49">
        <f t="shared" si="9"/>
        <v>0.35128170851952151</v>
      </c>
      <c r="Q40" s="49">
        <f t="shared" si="10"/>
        <v>0.5734061326207881</v>
      </c>
      <c r="S40" s="49">
        <f t="shared" si="11"/>
        <v>0.37989221106911791</v>
      </c>
      <c r="T40" s="49">
        <f t="shared" si="12"/>
        <v>0.62010778893088203</v>
      </c>
      <c r="V40" t="s">
        <v>136</v>
      </c>
      <c r="W40" s="51">
        <f t="shared" si="13"/>
        <v>0</v>
      </c>
      <c r="X40" s="51">
        <f t="shared" si="20"/>
        <v>0</v>
      </c>
      <c r="Y40" s="51">
        <f t="shared" si="21"/>
        <v>0</v>
      </c>
      <c r="Z40" s="51">
        <f t="shared" si="22"/>
        <v>0</v>
      </c>
      <c r="AA40" s="53">
        <f t="shared" si="14"/>
        <v>0</v>
      </c>
      <c r="AB40" s="54">
        <f t="shared" si="15"/>
        <v>0.37435288522642129</v>
      </c>
      <c r="AC40" s="57">
        <f t="shared" si="16"/>
        <v>8.8602063203491177E-5</v>
      </c>
      <c r="AE40" s="46"/>
      <c r="AF40" s="46"/>
      <c r="AG40">
        <v>0.3506038926071236</v>
      </c>
      <c r="AH40">
        <v>0.46218939918455265</v>
      </c>
      <c r="AI40">
        <v>7.2082467882144785E-2</v>
      </c>
      <c r="AJ40">
        <f t="shared" si="17"/>
        <v>0.11512424032617896</v>
      </c>
      <c r="AL40">
        <v>-0.14599610739287638</v>
      </c>
      <c r="AM40">
        <v>0.19558939918455265</v>
      </c>
      <c r="AO40" t="s">
        <v>151</v>
      </c>
      <c r="AQ40">
        <v>25998</v>
      </c>
      <c r="AR40">
        <f t="shared" si="18"/>
        <v>9132.6218580905206</v>
      </c>
      <c r="AS40">
        <f t="shared" si="19"/>
        <v>14907.412635875249</v>
      </c>
    </row>
    <row r="41" spans="1:45" x14ac:dyDescent="0.25">
      <c r="A41" s="13" t="s">
        <v>65</v>
      </c>
      <c r="B41" s="47" t="s">
        <v>0</v>
      </c>
      <c r="C41" s="48">
        <f>Output!E$4+(AL41*-0.3)+AG41</f>
        <v>0.49595935704859029</v>
      </c>
      <c r="D41" s="49">
        <f>Output!E$5+(AM41*-0.3)+AH41</f>
        <v>0.31998915882823431</v>
      </c>
      <c r="E41" s="49">
        <f>Output!E$6+AI41</f>
        <v>0.18444292339532092</v>
      </c>
      <c r="F41" s="49">
        <f>Output!E$7+AJ41</f>
        <v>-1.0111703219356089E-2</v>
      </c>
      <c r="H41" s="48">
        <f t="shared" si="3"/>
        <v>0.4957652950423439</v>
      </c>
      <c r="I41" s="48">
        <f t="shared" si="4"/>
        <v>0.31986395151586733</v>
      </c>
      <c r="J41" s="48">
        <f t="shared" si="5"/>
        <v>0.18437075344178874</v>
      </c>
      <c r="K41" s="48">
        <f t="shared" si="6"/>
        <v>0</v>
      </c>
      <c r="M41" s="50">
        <f t="shared" si="7"/>
        <v>0.16509701950360303</v>
      </c>
      <c r="N41" s="50">
        <f t="shared" si="8"/>
        <v>0.46957101059832101</v>
      </c>
      <c r="P41" s="49">
        <f t="shared" si="9"/>
        <v>0.52620435691921685</v>
      </c>
      <c r="Q41" s="49">
        <f t="shared" si="10"/>
        <v>0.40643911253430193</v>
      </c>
      <c r="S41" s="49">
        <f t="shared" si="11"/>
        <v>0.56420741060626911</v>
      </c>
      <c r="T41" s="49">
        <f t="shared" si="12"/>
        <v>0.43579258939373089</v>
      </c>
      <c r="V41" t="s">
        <v>135</v>
      </c>
      <c r="W41" s="51">
        <f t="shared" si="13"/>
        <v>0</v>
      </c>
      <c r="X41" s="51">
        <f t="shared" si="20"/>
        <v>0</v>
      </c>
      <c r="Y41" s="51">
        <f t="shared" si="21"/>
        <v>0</v>
      </c>
      <c r="Z41" s="51">
        <f t="shared" si="22"/>
        <v>0</v>
      </c>
      <c r="AA41" s="53">
        <f t="shared" si="14"/>
        <v>0</v>
      </c>
      <c r="AB41" s="54">
        <f t="shared" si="15"/>
        <v>0.55866808476357244</v>
      </c>
      <c r="AC41" s="57">
        <f t="shared" si="16"/>
        <v>0.96000408006678595</v>
      </c>
      <c r="AE41" s="46"/>
      <c r="AF41" s="46"/>
      <c r="AG41">
        <v>0.60887822435512895</v>
      </c>
      <c r="AH41">
        <v>0.18672265546890621</v>
      </c>
      <c r="AI41">
        <v>0.18488302339532092</v>
      </c>
      <c r="AJ41">
        <f t="shared" si="17"/>
        <v>1.9516096780643921E-2</v>
      </c>
      <c r="AL41">
        <v>0.11227822435512896</v>
      </c>
      <c r="AM41">
        <v>-7.9877344531093797E-2</v>
      </c>
      <c r="AO41" t="s">
        <v>151</v>
      </c>
      <c r="AQ41">
        <v>25005</v>
      </c>
      <c r="AR41">
        <f t="shared" si="18"/>
        <v>13157.739944765017</v>
      </c>
      <c r="AS41">
        <f t="shared" si="19"/>
        <v>10163.010008920221</v>
      </c>
    </row>
    <row r="42" spans="1:45" x14ac:dyDescent="0.25">
      <c r="A42" s="13" t="s">
        <v>66</v>
      </c>
      <c r="B42" s="47" t="s">
        <v>0</v>
      </c>
      <c r="C42" s="48">
        <f>Output!E$4+(AL42*-0.3)+AG42</f>
        <v>0.32082175430861726</v>
      </c>
      <c r="D42" s="49">
        <f>Output!E$5+(AM42*-0.3)+AH42</f>
        <v>0.40729432204408816</v>
      </c>
      <c r="E42" s="49">
        <f>Output!E$6+AI42</f>
        <v>5.5672124448897797E-2</v>
      </c>
      <c r="F42" s="49">
        <f>Output!E$7+AJ42</f>
        <v>0.24413400933295168</v>
      </c>
      <c r="H42" s="48">
        <f t="shared" si="3"/>
        <v>0.31210703606318785</v>
      </c>
      <c r="I42" s="48">
        <f t="shared" si="4"/>
        <v>0.39623068557957647</v>
      </c>
      <c r="J42" s="48">
        <f t="shared" si="5"/>
        <v>5.4159861417538903E-2</v>
      </c>
      <c r="K42" s="48">
        <f t="shared" si="6"/>
        <v>0.23750241693969681</v>
      </c>
      <c r="M42" s="50">
        <f t="shared" si="7"/>
        <v>0.22757418217720296</v>
      </c>
      <c r="N42" s="50">
        <f t="shared" si="8"/>
        <v>0.22667282244294731</v>
      </c>
      <c r="P42" s="49">
        <f t="shared" si="9"/>
        <v>0.37848184053227552</v>
      </c>
      <c r="Q42" s="49">
        <f t="shared" si="10"/>
        <v>0.46234259741495165</v>
      </c>
      <c r="S42" s="49">
        <f t="shared" si="11"/>
        <v>0.45013182711041783</v>
      </c>
      <c r="T42" s="49">
        <f t="shared" si="12"/>
        <v>0.54986817288958212</v>
      </c>
      <c r="V42" t="s">
        <v>146</v>
      </c>
      <c r="W42" s="51">
        <f t="shared" si="13"/>
        <v>0</v>
      </c>
      <c r="X42" s="51">
        <f t="shared" si="20"/>
        <v>1</v>
      </c>
      <c r="Y42" s="51">
        <f t="shared" si="21"/>
        <v>1</v>
      </c>
      <c r="Z42" s="51">
        <f t="shared" si="22"/>
        <v>0</v>
      </c>
      <c r="AA42" s="53">
        <f t="shared" si="14"/>
        <v>1.3999999999999999E-2</v>
      </c>
      <c r="AB42" s="54">
        <f t="shared" si="15"/>
        <v>0.45859250126772122</v>
      </c>
      <c r="AC42" s="57">
        <f t="shared" si="16"/>
        <v>0.10829348026346708</v>
      </c>
      <c r="AE42" s="46"/>
      <c r="AF42" s="46"/>
      <c r="AG42">
        <v>0.35868164901231031</v>
      </c>
      <c r="AH42">
        <v>0.31144431720584026</v>
      </c>
      <c r="AI42">
        <v>5.6112224448897796E-2</v>
      </c>
      <c r="AJ42">
        <f t="shared" si="17"/>
        <v>0.27376180933295169</v>
      </c>
      <c r="AL42">
        <v>-0.13791835098768968</v>
      </c>
      <c r="AM42">
        <v>4.4844317205840256E-2</v>
      </c>
      <c r="AO42" t="s">
        <v>151</v>
      </c>
      <c r="AQ42">
        <v>27944</v>
      </c>
      <c r="AR42">
        <f t="shared" si="18"/>
        <v>10576.296551833908</v>
      </c>
      <c r="AS42">
        <f t="shared" si="19"/>
        <v>12919.70154216341</v>
      </c>
    </row>
    <row r="43" spans="1:45" x14ac:dyDescent="0.25">
      <c r="A43" s="13" t="s">
        <v>67</v>
      </c>
      <c r="B43" s="47" t="s">
        <v>0</v>
      </c>
      <c r="C43" s="48">
        <f>Output!E$4+(AL43*-0.3)+AG43</f>
        <v>0.37451050972806288</v>
      </c>
      <c r="D43" s="49">
        <f>Output!E$5+(AM43*-0.3)+AH43</f>
        <v>0.41209308413232409</v>
      </c>
      <c r="E43" s="49">
        <f>Output!E$6+AI43</f>
        <v>6.2778290804597708E-2</v>
      </c>
      <c r="F43" s="49">
        <f>Output!E$7+AJ43</f>
        <v>0.15347424653770678</v>
      </c>
      <c r="H43" s="48">
        <f t="shared" si="3"/>
        <v>0.37344390493871243</v>
      </c>
      <c r="I43" s="48">
        <f t="shared" si="4"/>
        <v>0.41091944428570698</v>
      </c>
      <c r="J43" s="48">
        <f t="shared" si="5"/>
        <v>6.2599498423876437E-2</v>
      </c>
      <c r="K43" s="48">
        <f t="shared" si="6"/>
        <v>0.15303715235170401</v>
      </c>
      <c r="M43" s="50">
        <f t="shared" si="7"/>
        <v>0.22079528737836485</v>
      </c>
      <c r="N43" s="50">
        <f t="shared" si="8"/>
        <v>0.25496152472675299</v>
      </c>
      <c r="P43" s="49">
        <f t="shared" si="9"/>
        <v>0.42105546121601484</v>
      </c>
      <c r="Q43" s="49">
        <f t="shared" si="10"/>
        <v>0.46589849355441931</v>
      </c>
      <c r="S43" s="49">
        <f t="shared" si="11"/>
        <v>0.47472076645173145</v>
      </c>
      <c r="T43" s="49">
        <f t="shared" si="12"/>
        <v>0.52527923354826855</v>
      </c>
      <c r="V43" t="s">
        <v>146</v>
      </c>
      <c r="W43" s="51">
        <f t="shared" si="13"/>
        <v>0</v>
      </c>
      <c r="X43" s="51">
        <f t="shared" si="20"/>
        <v>1</v>
      </c>
      <c r="Y43" s="51">
        <f t="shared" si="21"/>
        <v>1</v>
      </c>
      <c r="Z43" s="51">
        <f t="shared" si="22"/>
        <v>0</v>
      </c>
      <c r="AA43" s="53">
        <f t="shared" si="14"/>
        <v>1.3999999999999999E-2</v>
      </c>
      <c r="AB43" s="54">
        <f t="shared" si="15"/>
        <v>0.48318144060903484</v>
      </c>
      <c r="AC43" s="57">
        <f t="shared" si="16"/>
        <v>0.30787311577714405</v>
      </c>
      <c r="AE43" s="46"/>
      <c r="AF43" s="46"/>
      <c r="AG43">
        <v>0.43537987104008974</v>
      </c>
      <c r="AH43">
        <v>0.31829969161760585</v>
      </c>
      <c r="AI43">
        <v>6.3218390804597707E-2</v>
      </c>
      <c r="AJ43">
        <f t="shared" si="17"/>
        <v>0.18310204653770679</v>
      </c>
      <c r="AL43">
        <v>-6.1220128959910247E-2</v>
      </c>
      <c r="AM43">
        <v>5.1699691617605847E-2</v>
      </c>
      <c r="AO43" t="s">
        <v>151</v>
      </c>
      <c r="AQ43">
        <v>28536</v>
      </c>
      <c r="AR43">
        <f t="shared" si="18"/>
        <v>12015.238641260199</v>
      </c>
      <c r="AS43">
        <f t="shared" si="19"/>
        <v>13294.879412068909</v>
      </c>
    </row>
    <row r="44" spans="1:45" x14ac:dyDescent="0.25">
      <c r="A44" s="13" t="s">
        <v>68</v>
      </c>
      <c r="B44" s="47" t="s">
        <v>0</v>
      </c>
      <c r="C44" s="48">
        <f>Output!E$4+(AL44*-0.3)+AG44</f>
        <v>0.43411566801176349</v>
      </c>
      <c r="D44" s="49">
        <f>Output!E$5+(AM44*-0.3)+AH44</f>
        <v>0.39123393842459886</v>
      </c>
      <c r="E44" s="49">
        <f>Output!E$6+AI44</f>
        <v>7.8664988783829062E-2</v>
      </c>
      <c r="F44" s="49">
        <f>Output!E$7+AJ44</f>
        <v>8.2236102021367635E-2</v>
      </c>
      <c r="H44" s="48">
        <f t="shared" si="3"/>
        <v>0.44016766652326833</v>
      </c>
      <c r="I44" s="48">
        <f t="shared" si="4"/>
        <v>0.39668812353576993</v>
      </c>
      <c r="J44" s="48">
        <f t="shared" si="5"/>
        <v>7.9761655939860801E-2</v>
      </c>
      <c r="K44" s="48">
        <f t="shared" si="6"/>
        <v>8.3382554001100812E-2</v>
      </c>
      <c r="M44" s="50">
        <f t="shared" si="7"/>
        <v>0.2063662717168597</v>
      </c>
      <c r="N44" s="50">
        <f t="shared" si="8"/>
        <v>0.31231243708775336</v>
      </c>
      <c r="P44" s="49">
        <f t="shared" si="9"/>
        <v>0.47383512888097723</v>
      </c>
      <c r="Q44" s="49">
        <f t="shared" si="10"/>
        <v>0.44764008933918775</v>
      </c>
      <c r="S44" s="49">
        <f t="shared" si="11"/>
        <v>0.5142136429845533</v>
      </c>
      <c r="T44" s="49">
        <f t="shared" si="12"/>
        <v>0.48578635701544676</v>
      </c>
      <c r="V44" t="s">
        <v>146</v>
      </c>
      <c r="W44" s="51">
        <f t="shared" si="13"/>
        <v>0</v>
      </c>
      <c r="X44" s="51">
        <f t="shared" si="20"/>
        <v>1</v>
      </c>
      <c r="Y44" s="51">
        <f t="shared" si="21"/>
        <v>1</v>
      </c>
      <c r="Z44" s="51">
        <f t="shared" si="22"/>
        <v>0</v>
      </c>
      <c r="AA44" s="53">
        <f t="shared" si="14"/>
        <v>1.3999999999999999E-2</v>
      </c>
      <c r="AB44" s="54">
        <f t="shared" si="15"/>
        <v>0.52267431714185664</v>
      </c>
      <c r="AC44" s="57">
        <f t="shared" si="16"/>
        <v>0.75068016339267185</v>
      </c>
      <c r="AE44" s="46"/>
      <c r="AF44" s="46"/>
      <c r="AG44">
        <v>0.52053009715966203</v>
      </c>
      <c r="AH44">
        <v>0.28850091203514128</v>
      </c>
      <c r="AI44">
        <v>7.9105088783829061E-2</v>
      </c>
      <c r="AJ44">
        <f t="shared" si="17"/>
        <v>0.11186390202136764</v>
      </c>
      <c r="AL44">
        <v>2.3930097159662045E-2</v>
      </c>
      <c r="AM44">
        <v>2.1900912035141273E-2</v>
      </c>
      <c r="AO44" t="s">
        <v>151</v>
      </c>
      <c r="AQ44">
        <v>26863</v>
      </c>
      <c r="AR44">
        <f t="shared" si="18"/>
        <v>12728.633067129691</v>
      </c>
      <c r="AS44">
        <f t="shared" si="19"/>
        <v>12024.9557199186</v>
      </c>
    </row>
    <row r="45" spans="1:45" x14ac:dyDescent="0.25">
      <c r="A45" s="13" t="s">
        <v>69</v>
      </c>
      <c r="B45" s="47" t="s">
        <v>0</v>
      </c>
      <c r="C45" s="48">
        <f>Output!E$4+(AL45*-0.3)+AG45</f>
        <v>0.53761771347121301</v>
      </c>
      <c r="D45" s="49">
        <f>Output!E$5+(AM45*-0.3)+AH45</f>
        <v>0.31434618429290107</v>
      </c>
      <c r="E45" s="49">
        <f>Output!E$6+AI45</f>
        <v>8.284665237562884E-2</v>
      </c>
      <c r="F45" s="49">
        <f>Output!E$7+AJ45</f>
        <v>4.0034022247065287E-2</v>
      </c>
      <c r="H45" s="48">
        <f t="shared" si="3"/>
        <v>0.55149069779904547</v>
      </c>
      <c r="I45" s="48">
        <f t="shared" si="4"/>
        <v>0.32245774680086309</v>
      </c>
      <c r="J45" s="48">
        <f t="shared" si="5"/>
        <v>8.4984473137894381E-2</v>
      </c>
      <c r="K45" s="48">
        <f t="shared" si="6"/>
        <v>4.1067082262196977E-2</v>
      </c>
      <c r="M45" s="50">
        <f t="shared" si="7"/>
        <v>0.19811258886184524</v>
      </c>
      <c r="N45" s="50">
        <f t="shared" si="8"/>
        <v>0.35364863524032586</v>
      </c>
      <c r="P45" s="49">
        <f t="shared" si="9"/>
        <v>0.57646309776941984</v>
      </c>
      <c r="Q45" s="49">
        <f t="shared" si="10"/>
        <v>0.36703570733802571</v>
      </c>
      <c r="S45" s="49">
        <f t="shared" si="11"/>
        <v>0.61098444921058725</v>
      </c>
      <c r="T45" s="49">
        <f t="shared" si="12"/>
        <v>0.38901555078941275</v>
      </c>
      <c r="V45" t="s">
        <v>135</v>
      </c>
      <c r="W45" s="51">
        <f t="shared" si="13"/>
        <v>0</v>
      </c>
      <c r="X45" s="51">
        <f t="shared" si="20"/>
        <v>0</v>
      </c>
      <c r="Y45" s="51">
        <f t="shared" si="21"/>
        <v>0</v>
      </c>
      <c r="Z45" s="51">
        <f t="shared" si="22"/>
        <v>0</v>
      </c>
      <c r="AA45" s="53">
        <f t="shared" si="14"/>
        <v>0</v>
      </c>
      <c r="AB45" s="54">
        <f t="shared" si="15"/>
        <v>0.60544512336789058</v>
      </c>
      <c r="AC45" s="57">
        <f t="shared" si="16"/>
        <v>0.99917415903753004</v>
      </c>
      <c r="AE45" s="46"/>
      <c r="AF45" s="46"/>
      <c r="AG45">
        <v>0.66839016210173285</v>
      </c>
      <c r="AH45">
        <v>0.17866126327557294</v>
      </c>
      <c r="AI45">
        <v>8.3286752375628839E-2</v>
      </c>
      <c r="AJ45">
        <f t="shared" si="17"/>
        <v>6.9661822247065297E-2</v>
      </c>
      <c r="AL45">
        <v>0.17179016210173287</v>
      </c>
      <c r="AM45">
        <v>-8.7938736724427063E-2</v>
      </c>
      <c r="AO45" t="s">
        <v>29</v>
      </c>
      <c r="AQ45">
        <v>28624</v>
      </c>
      <c r="AR45">
        <f t="shared" si="18"/>
        <v>16500.679710551874</v>
      </c>
      <c r="AS45">
        <f t="shared" si="19"/>
        <v>10506.030086843648</v>
      </c>
    </row>
    <row r="46" spans="1:45" x14ac:dyDescent="0.25">
      <c r="A46" s="13" t="s">
        <v>70</v>
      </c>
      <c r="B46" s="47" t="s">
        <v>0</v>
      </c>
      <c r="C46" s="48">
        <f>Output!E$4+(AL46*-0.3)+AG46</f>
        <v>0.37946013610503287</v>
      </c>
      <c r="D46" s="49">
        <f>Output!E$5+(AM46*-0.3)+AH46</f>
        <v>0.42340213521292713</v>
      </c>
      <c r="E46" s="49">
        <f>Output!E$6+AI46</f>
        <v>6.3690517741121028E-2</v>
      </c>
      <c r="F46" s="49">
        <f>Output!E$7+AJ46</f>
        <v>0.12933533751893608</v>
      </c>
      <c r="H46" s="48">
        <f t="shared" si="3"/>
        <v>0.38102687036635358</v>
      </c>
      <c r="I46" s="48">
        <f t="shared" si="4"/>
        <v>0.42515029942949933</v>
      </c>
      <c r="J46" s="48">
        <f t="shared" si="5"/>
        <v>6.3953486382018393E-2</v>
      </c>
      <c r="K46" s="48">
        <f t="shared" si="6"/>
        <v>0.12986934382212864</v>
      </c>
      <c r="M46" s="50">
        <f t="shared" si="7"/>
        <v>0.21671838477043384</v>
      </c>
      <c r="N46" s="50">
        <f t="shared" si="8"/>
        <v>0.26920793605745102</v>
      </c>
      <c r="P46" s="49">
        <f t="shared" si="9"/>
        <v>0.42303184105983038</v>
      </c>
      <c r="Q46" s="49">
        <f t="shared" si="10"/>
        <v>0.47732894350957156</v>
      </c>
      <c r="S46" s="49">
        <f t="shared" si="11"/>
        <v>0.4698470305569179</v>
      </c>
      <c r="T46" s="49">
        <f t="shared" si="12"/>
        <v>0.5301529694430821</v>
      </c>
      <c r="V46" t="s">
        <v>146</v>
      </c>
      <c r="W46" s="51">
        <f t="shared" si="13"/>
        <v>0</v>
      </c>
      <c r="X46" s="51">
        <f t="shared" si="20"/>
        <v>1</v>
      </c>
      <c r="Y46" s="51">
        <f t="shared" si="21"/>
        <v>1</v>
      </c>
      <c r="Z46" s="51">
        <f t="shared" si="22"/>
        <v>1</v>
      </c>
      <c r="AA46" s="53">
        <f t="shared" si="14"/>
        <v>2.1999999999999999E-2</v>
      </c>
      <c r="AB46" s="54">
        <f t="shared" si="15"/>
        <v>0.4863077047142213</v>
      </c>
      <c r="AC46" s="57">
        <f t="shared" si="16"/>
        <v>0.34141799451420352</v>
      </c>
      <c r="AE46" s="46"/>
      <c r="AF46" s="46"/>
      <c r="AG46">
        <v>0.44245076586433263</v>
      </c>
      <c r="AH46">
        <v>0.33445547887561017</v>
      </c>
      <c r="AI46">
        <v>6.4130617741121027E-2</v>
      </c>
      <c r="AJ46">
        <f t="shared" si="17"/>
        <v>0.15896313751893609</v>
      </c>
      <c r="AL46">
        <v>-5.4149234135667357E-2</v>
      </c>
      <c r="AM46">
        <v>6.7855478875610165E-2</v>
      </c>
      <c r="AO46" t="s">
        <v>29</v>
      </c>
      <c r="AQ46">
        <v>29705</v>
      </c>
      <c r="AR46">
        <f t="shared" si="18"/>
        <v>12566.160838682261</v>
      </c>
      <c r="AS46">
        <f t="shared" si="19"/>
        <v>14179.056266951824</v>
      </c>
    </row>
    <row r="47" spans="1:45" x14ac:dyDescent="0.25">
      <c r="A47" s="13" t="s">
        <v>71</v>
      </c>
      <c r="B47" s="47" t="s">
        <v>0</v>
      </c>
      <c r="C47" s="48">
        <f>Output!E$4+(AL47*-0.3)+AG47</f>
        <v>0.43384102921877837</v>
      </c>
      <c r="D47" s="49">
        <f>Output!E$5+(AM47*-0.3)+AH47</f>
        <v>0.31301721335870947</v>
      </c>
      <c r="E47" s="49">
        <f>Output!E$6+AI47</f>
        <v>6.4450238952329167E-2</v>
      </c>
      <c r="F47" s="49">
        <f>Output!E$7+AJ47</f>
        <v>0.20858137165125964</v>
      </c>
      <c r="H47" s="48">
        <f t="shared" si="3"/>
        <v>0.42538027794433986</v>
      </c>
      <c r="I47" s="48">
        <f t="shared" si="4"/>
        <v>0.30691276355225655</v>
      </c>
      <c r="J47" s="48">
        <f t="shared" si="5"/>
        <v>6.3193332840116342E-2</v>
      </c>
      <c r="K47" s="48">
        <f t="shared" si="6"/>
        <v>0.20451362566328718</v>
      </c>
      <c r="M47" s="50">
        <f t="shared" si="7"/>
        <v>0.2352738943486945</v>
      </c>
      <c r="N47" s="50">
        <f t="shared" si="8"/>
        <v>0.21466974319574095</v>
      </c>
      <c r="P47" s="49">
        <f t="shared" si="9"/>
        <v>0.48836473661567997</v>
      </c>
      <c r="Q47" s="49">
        <f t="shared" si="10"/>
        <v>0.36438134758589508</v>
      </c>
      <c r="S47" s="49">
        <f t="shared" si="11"/>
        <v>0.57269654550561222</v>
      </c>
      <c r="T47" s="49">
        <f t="shared" si="12"/>
        <v>0.42730345449438778</v>
      </c>
      <c r="V47" t="s">
        <v>135</v>
      </c>
      <c r="W47" s="51">
        <f t="shared" si="13"/>
        <v>0</v>
      </c>
      <c r="X47" s="51">
        <f t="shared" si="20"/>
        <v>0</v>
      </c>
      <c r="Y47" s="51">
        <f t="shared" si="21"/>
        <v>0</v>
      </c>
      <c r="Z47" s="51">
        <f t="shared" si="22"/>
        <v>0</v>
      </c>
      <c r="AA47" s="53">
        <f t="shared" si="14"/>
        <v>0</v>
      </c>
      <c r="AB47" s="54">
        <f t="shared" si="15"/>
        <v>0.56715721966291555</v>
      </c>
      <c r="AC47" s="57">
        <f t="shared" si="16"/>
        <v>0.97746820778820709</v>
      </c>
      <c r="AE47" s="46"/>
      <c r="AF47" s="46"/>
      <c r="AG47">
        <v>0.52013775602682621</v>
      </c>
      <c r="AH47">
        <v>0.17676273336958492</v>
      </c>
      <c r="AI47">
        <v>6.4890338952329166E-2</v>
      </c>
      <c r="AJ47">
        <f t="shared" si="17"/>
        <v>0.23820917165125965</v>
      </c>
      <c r="AL47">
        <v>2.3537756026826229E-2</v>
      </c>
      <c r="AM47">
        <v>-8.983726663041508E-2</v>
      </c>
      <c r="AO47" t="s">
        <v>29</v>
      </c>
      <c r="AQ47">
        <v>27585</v>
      </c>
      <c r="AR47">
        <f t="shared" si="18"/>
        <v>13471.541259543532</v>
      </c>
      <c r="AS47">
        <f t="shared" si="19"/>
        <v>10051.459473156916</v>
      </c>
    </row>
    <row r="48" spans="1:45" x14ac:dyDescent="0.25">
      <c r="A48" s="13" t="s">
        <v>72</v>
      </c>
      <c r="B48" s="47" t="s">
        <v>0</v>
      </c>
      <c r="C48" s="48">
        <f>Output!E$4+(AL48*-0.3)+AG48</f>
        <v>0.35684188363866082</v>
      </c>
      <c r="D48" s="49">
        <f>Output!E$5+(AM48*-0.3)+AH48</f>
        <v>0.42229419703095383</v>
      </c>
      <c r="E48" s="49">
        <f>Output!E$6+AI48</f>
        <v>5.3334378837650034E-2</v>
      </c>
      <c r="F48" s="49">
        <f>Output!E$7+AJ48</f>
        <v>0.17358603449147189</v>
      </c>
      <c r="H48" s="48">
        <f t="shared" si="3"/>
        <v>0.35469368347331498</v>
      </c>
      <c r="I48" s="48">
        <f t="shared" si="4"/>
        <v>0.41975197173319395</v>
      </c>
      <c r="J48" s="48">
        <f t="shared" si="5"/>
        <v>5.3013304079638515E-2</v>
      </c>
      <c r="K48" s="48">
        <f t="shared" si="6"/>
        <v>0.17254104071385271</v>
      </c>
      <c r="M48" s="50">
        <f t="shared" si="7"/>
        <v>0.22443333773392524</v>
      </c>
      <c r="N48" s="50">
        <f t="shared" si="8"/>
        <v>0.23988379635433027</v>
      </c>
      <c r="P48" s="49">
        <f t="shared" si="9"/>
        <v>0.40531559791570682</v>
      </c>
      <c r="Q48" s="49">
        <f t="shared" si="10"/>
        <v>0.4738588042464702</v>
      </c>
      <c r="S48" s="49">
        <f t="shared" si="11"/>
        <v>0.46101842469355725</v>
      </c>
      <c r="T48" s="49">
        <f t="shared" si="12"/>
        <v>0.53898157530644275</v>
      </c>
      <c r="V48" t="s">
        <v>143</v>
      </c>
      <c r="W48" s="51">
        <f t="shared" si="13"/>
        <v>0</v>
      </c>
      <c r="X48" s="51">
        <v>1</v>
      </c>
      <c r="Y48" s="51">
        <v>1</v>
      </c>
      <c r="Z48" s="51">
        <f t="shared" si="22"/>
        <v>0</v>
      </c>
      <c r="AA48" s="55">
        <v>4.0000000000000001E-3</v>
      </c>
      <c r="AB48" s="54">
        <f t="shared" si="15"/>
        <v>0.45947909885086063</v>
      </c>
      <c r="AC48" s="57">
        <f t="shared" si="16"/>
        <v>0.11329350720641462</v>
      </c>
      <c r="AE48" s="46"/>
      <c r="AF48" s="46"/>
      <c r="AG48">
        <v>0.41013897662665827</v>
      </c>
      <c r="AH48">
        <v>0.33287271004421981</v>
      </c>
      <c r="AI48">
        <v>5.3774478837650033E-2</v>
      </c>
      <c r="AJ48">
        <f t="shared" si="17"/>
        <v>0.2032138344914719</v>
      </c>
      <c r="AL48">
        <v>-8.6461023373341717E-2</v>
      </c>
      <c r="AM48">
        <v>6.6272710044219807E-2</v>
      </c>
      <c r="AO48" t="s">
        <v>151</v>
      </c>
      <c r="AQ48">
        <v>25328</v>
      </c>
      <c r="AR48">
        <f t="shared" si="18"/>
        <v>10265.833464009022</v>
      </c>
      <c r="AS48">
        <f t="shared" si="19"/>
        <v>12001.895793954598</v>
      </c>
    </row>
    <row r="49" spans="1:45" x14ac:dyDescent="0.25">
      <c r="A49" s="13" t="s">
        <v>73</v>
      </c>
      <c r="B49" s="47" t="s">
        <v>0</v>
      </c>
      <c r="C49" s="48">
        <f>Output!E$4+(AL49*-0.3)+AG49</f>
        <v>0.37539395297702266</v>
      </c>
      <c r="D49" s="49">
        <f>Output!E$5+(AM49*-0.3)+AH49</f>
        <v>0.4643200423020396</v>
      </c>
      <c r="E49" s="49">
        <f>Output!E$6+AI49</f>
        <v>8.0428810635552211E-2</v>
      </c>
      <c r="F49" s="49">
        <f>Output!E$7+AJ49</f>
        <v>5.9951724680073121E-2</v>
      </c>
      <c r="H49" s="48">
        <f t="shared" si="3"/>
        <v>0.38301810821171156</v>
      </c>
      <c r="I49" s="48">
        <f t="shared" si="4"/>
        <v>0.47375026368151063</v>
      </c>
      <c r="J49" s="48">
        <f t="shared" si="5"/>
        <v>8.2062299222046248E-2</v>
      </c>
      <c r="K49" s="48">
        <f t="shared" si="6"/>
        <v>6.1169328884731644E-2</v>
      </c>
      <c r="M49" s="50">
        <f t="shared" si="7"/>
        <v>0.19135868037385295</v>
      </c>
      <c r="N49" s="50">
        <f t="shared" si="8"/>
        <v>0.35738421120069852</v>
      </c>
      <c r="P49" s="49">
        <f t="shared" si="9"/>
        <v>0.41042672355402304</v>
      </c>
      <c r="Q49" s="49">
        <f t="shared" si="10"/>
        <v>0.5249389861114433</v>
      </c>
      <c r="S49" s="49">
        <f t="shared" si="11"/>
        <v>0.43878743823184646</v>
      </c>
      <c r="T49" s="49">
        <f t="shared" si="12"/>
        <v>0.56121256176815348</v>
      </c>
      <c r="V49" t="s">
        <v>143</v>
      </c>
      <c r="W49" s="51">
        <f t="shared" si="13"/>
        <v>0</v>
      </c>
      <c r="X49" s="51">
        <v>1</v>
      </c>
      <c r="Y49" s="51">
        <v>1</v>
      </c>
      <c r="Z49" s="51">
        <f t="shared" si="22"/>
        <v>0</v>
      </c>
      <c r="AA49" s="55">
        <v>4.0000000000000001E-3</v>
      </c>
      <c r="AB49" s="54">
        <f t="shared" si="15"/>
        <v>0.43724811238914985</v>
      </c>
      <c r="AC49" s="57">
        <f t="shared" si="16"/>
        <v>3.0561854483360129E-2</v>
      </c>
      <c r="AE49" s="46"/>
      <c r="AF49" s="46"/>
      <c r="AG49">
        <v>0.43664193282431801</v>
      </c>
      <c r="AH49">
        <v>0.39290963186005662</v>
      </c>
      <c r="AI49">
        <v>8.086891063555221E-2</v>
      </c>
      <c r="AJ49">
        <f t="shared" si="17"/>
        <v>8.957952468007313E-2</v>
      </c>
      <c r="AL49">
        <v>-5.9958067175681973E-2</v>
      </c>
      <c r="AM49">
        <v>0.12630963186005661</v>
      </c>
      <c r="AO49" t="s">
        <v>151</v>
      </c>
      <c r="AQ49">
        <v>27897</v>
      </c>
      <c r="AR49">
        <f t="shared" si="18"/>
        <v>11449.674306986581</v>
      </c>
      <c r="AS49">
        <f t="shared" si="19"/>
        <v>14644.222895550934</v>
      </c>
    </row>
    <row r="50" spans="1:45" x14ac:dyDescent="0.25">
      <c r="A50" s="13" t="s">
        <v>74</v>
      </c>
      <c r="B50" s="47" t="s">
        <v>1</v>
      </c>
      <c r="C50" s="48">
        <f>Output!E$4+(AL50*-0.3)+AG50</f>
        <v>0.32833136207513419</v>
      </c>
      <c r="D50" s="49">
        <f>Output!E$5+(AM50*-0.3)+AH50</f>
        <v>0.45933074497161075</v>
      </c>
      <c r="E50" s="49">
        <f>Output!E$6+AI50</f>
        <v>5.4977182414249051E-2</v>
      </c>
      <c r="F50" s="49">
        <f>Output!E$7+AJ50</f>
        <v>0.15976319323325813</v>
      </c>
      <c r="H50" s="48">
        <f t="shared" si="3"/>
        <v>0.32754444222109952</v>
      </c>
      <c r="I50" s="48">
        <f t="shared" si="4"/>
        <v>0.45822985567336583</v>
      </c>
      <c r="J50" s="48">
        <f t="shared" si="5"/>
        <v>5.4845417248450608E-2</v>
      </c>
      <c r="K50" s="48">
        <f t="shared" si="6"/>
        <v>0.15938028485708403</v>
      </c>
      <c r="M50" s="50">
        <f t="shared" si="7"/>
        <v>0.2187774056013887</v>
      </c>
      <c r="N50" s="50">
        <f t="shared" si="8"/>
        <v>0.25559846555063243</v>
      </c>
      <c r="P50" s="49">
        <f t="shared" si="9"/>
        <v>0.37441218554088435</v>
      </c>
      <c r="Q50" s="49">
        <f t="shared" si="10"/>
        <v>0.51298561641304741</v>
      </c>
      <c r="S50" s="49">
        <f t="shared" si="11"/>
        <v>0.42192147052480705</v>
      </c>
      <c r="T50" s="49">
        <f t="shared" si="12"/>
        <v>0.578078529475193</v>
      </c>
      <c r="V50" t="s">
        <v>141</v>
      </c>
      <c r="W50" s="51">
        <f t="shared" si="13"/>
        <v>1</v>
      </c>
      <c r="X50" s="51">
        <f t="shared" ref="X50:X59" si="23">IF(V50="ALPSOPWIN",1,IF(V50="LNPSOPWIN",1,0))</f>
        <v>0</v>
      </c>
      <c r="Y50" s="51">
        <f t="shared" ref="Y50:Y59" si="24">IF(V50="ALPSOPWIN",1,IF(V50="LNPSOPWIN",1,0))</f>
        <v>0</v>
      </c>
      <c r="Z50" s="51">
        <f t="shared" si="22"/>
        <v>0</v>
      </c>
      <c r="AA50" s="53">
        <f t="shared" ref="AA50:AA67" si="25">IF(B50="LNP",(-0.01*W50)+(0.009*X50)+(0.005*Y50)+(0.008*Z50),IF(B50="ALP",0-((-0.01*W50)+(0.009*X50)+(0.005*Y50)+(0.008*Z50)),""))</f>
        <v>0.01</v>
      </c>
      <c r="AB50" s="54">
        <f t="shared" si="15"/>
        <v>0.42638214468211044</v>
      </c>
      <c r="AC50" s="57">
        <f t="shared" si="16"/>
        <v>1.4015423535237437E-2</v>
      </c>
      <c r="AE50" s="46"/>
      <c r="AF50" s="46"/>
      <c r="AG50">
        <v>0.3694096601073345</v>
      </c>
      <c r="AH50">
        <v>0.38578206424515826</v>
      </c>
      <c r="AI50">
        <v>5.541728241424905E-2</v>
      </c>
      <c r="AJ50">
        <f t="shared" si="17"/>
        <v>0.18939099323325814</v>
      </c>
      <c r="AL50">
        <v>-0.12719033989266548</v>
      </c>
      <c r="AM50">
        <v>0.11918206424515826</v>
      </c>
      <c r="AO50" t="s">
        <v>29</v>
      </c>
      <c r="AQ50">
        <v>25714</v>
      </c>
      <c r="AR50">
        <f t="shared" si="18"/>
        <v>9627.6349389983006</v>
      </c>
      <c r="AS50">
        <f t="shared" si="19"/>
        <v>13190.912140445102</v>
      </c>
    </row>
    <row r="51" spans="1:45" x14ac:dyDescent="0.25">
      <c r="A51" s="13" t="s">
        <v>75</v>
      </c>
      <c r="B51" s="47" t="s">
        <v>0</v>
      </c>
      <c r="C51" s="48">
        <f>Output!E$4+(AL51*-0.3)+AG51</f>
        <v>0.44543119127625208</v>
      </c>
      <c r="D51" s="49">
        <f>Output!E$5+(AM51*-0.3)+AH51</f>
        <v>0.41588534631125468</v>
      </c>
      <c r="E51" s="49">
        <f>Output!E$6+AI51</f>
        <v>6.0795379652280948E-2</v>
      </c>
      <c r="F51" s="49">
        <f>Output!E$7+AJ51</f>
        <v>4.8724380936995132E-2</v>
      </c>
      <c r="H51" s="48">
        <f t="shared" si="3"/>
        <v>0.45881184306022105</v>
      </c>
      <c r="I51" s="48">
        <f t="shared" si="4"/>
        <v>0.42837844762529131</v>
      </c>
      <c r="J51" s="48">
        <f t="shared" si="5"/>
        <v>6.2621659044324804E-2</v>
      </c>
      <c r="K51" s="48">
        <f t="shared" si="6"/>
        <v>5.0188050270162793E-2</v>
      </c>
      <c r="M51" s="50">
        <f t="shared" si="7"/>
        <v>0.19929115565880062</v>
      </c>
      <c r="N51" s="50">
        <f t="shared" si="8"/>
        <v>0.33672456622904562</v>
      </c>
      <c r="P51" s="49">
        <f t="shared" si="9"/>
        <v>0.48129382039903867</v>
      </c>
      <c r="Q51" s="49">
        <f t="shared" si="10"/>
        <v>0.46636424806063687</v>
      </c>
      <c r="S51" s="49">
        <f t="shared" si="11"/>
        <v>0.50787708817942545</v>
      </c>
      <c r="T51" s="49">
        <f t="shared" si="12"/>
        <v>0.49212291182057449</v>
      </c>
      <c r="V51" t="s">
        <v>146</v>
      </c>
      <c r="W51" s="51">
        <f t="shared" si="13"/>
        <v>0</v>
      </c>
      <c r="X51" s="51">
        <f t="shared" si="23"/>
        <v>1</v>
      </c>
      <c r="Y51" s="51">
        <f t="shared" si="24"/>
        <v>1</v>
      </c>
      <c r="Z51" s="51">
        <f t="shared" si="22"/>
        <v>0</v>
      </c>
      <c r="AA51" s="53">
        <f t="shared" si="25"/>
        <v>1.3999999999999999E-2</v>
      </c>
      <c r="AB51" s="54">
        <f t="shared" si="15"/>
        <v>0.51633776233672879</v>
      </c>
      <c r="AC51" s="57">
        <f t="shared" si="16"/>
        <v>0.68706232025404823</v>
      </c>
      <c r="AE51" s="46"/>
      <c r="AF51" s="46"/>
      <c r="AG51">
        <v>0.53669513039464578</v>
      </c>
      <c r="AH51">
        <v>0.32371720901607814</v>
      </c>
      <c r="AI51">
        <v>6.1235479652280947E-2</v>
      </c>
      <c r="AJ51">
        <f t="shared" si="17"/>
        <v>7.8352180936995142E-2</v>
      </c>
      <c r="AL51">
        <v>4.0095130394645795E-2</v>
      </c>
      <c r="AM51">
        <v>5.7117209016078141E-2</v>
      </c>
      <c r="AO51" t="s">
        <v>151</v>
      </c>
      <c r="AQ51">
        <v>25998</v>
      </c>
      <c r="AR51">
        <f t="shared" si="18"/>
        <v>12512.676742734207</v>
      </c>
      <c r="AS51">
        <f t="shared" si="19"/>
        <v>12124.537721080438</v>
      </c>
    </row>
    <row r="52" spans="1:45" x14ac:dyDescent="0.25">
      <c r="A52" s="13" t="s">
        <v>76</v>
      </c>
      <c r="B52" s="47" t="s">
        <v>0</v>
      </c>
      <c r="C52" s="48">
        <f>Output!E$4+(AL52*-0.3)+AG52</f>
        <v>0.47689635679043113</v>
      </c>
      <c r="D52" s="49">
        <f>Output!E$5+(AM52*-0.3)+AH52</f>
        <v>0.33032491475205583</v>
      </c>
      <c r="E52" s="49">
        <f>Output!E$6+AI52</f>
        <v>0.1295659517603503</v>
      </c>
      <c r="F52" s="49">
        <f>Output!E$7+AJ52</f>
        <v>5.723276032181121E-2</v>
      </c>
      <c r="H52" s="48">
        <f t="shared" si="3"/>
        <v>0.4797653615085789</v>
      </c>
      <c r="I52" s="48">
        <f t="shared" si="4"/>
        <v>0.33231214683183846</v>
      </c>
      <c r="J52" s="48">
        <f t="shared" si="5"/>
        <v>0.1303454195034329</v>
      </c>
      <c r="K52" s="48">
        <f t="shared" si="6"/>
        <v>5.7577072156149788E-2</v>
      </c>
      <c r="M52" s="50">
        <f t="shared" si="7"/>
        <v>0.1926868979158731</v>
      </c>
      <c r="N52" s="50">
        <f t="shared" si="8"/>
        <v>0.36863808652721375</v>
      </c>
      <c r="P52" s="49">
        <f t="shared" si="9"/>
        <v>0.51597556347508544</v>
      </c>
      <c r="Q52" s="49">
        <f t="shared" si="10"/>
        <v>0.40158753457265328</v>
      </c>
      <c r="S52" s="49">
        <f t="shared" si="11"/>
        <v>0.56233251377796845</v>
      </c>
      <c r="T52" s="49">
        <f t="shared" si="12"/>
        <v>0.43766748622203155</v>
      </c>
      <c r="V52" t="s">
        <v>135</v>
      </c>
      <c r="W52" s="51">
        <f t="shared" si="13"/>
        <v>0</v>
      </c>
      <c r="X52" s="51">
        <f t="shared" si="23"/>
        <v>0</v>
      </c>
      <c r="Y52" s="51">
        <f t="shared" si="24"/>
        <v>0</v>
      </c>
      <c r="Z52" s="51">
        <f t="shared" si="22"/>
        <v>0</v>
      </c>
      <c r="AA52" s="53">
        <f t="shared" si="25"/>
        <v>0</v>
      </c>
      <c r="AB52" s="54">
        <f t="shared" si="15"/>
        <v>0.55679318793527177</v>
      </c>
      <c r="AC52" s="57">
        <f t="shared" si="16"/>
        <v>0.95494179937951007</v>
      </c>
      <c r="AE52" s="46"/>
      <c r="AF52" s="46"/>
      <c r="AG52">
        <v>0.58164536684347301</v>
      </c>
      <c r="AH52">
        <v>0.20148802107436545</v>
      </c>
      <c r="AI52">
        <v>0.13000605176035029</v>
      </c>
      <c r="AJ52">
        <f t="shared" si="17"/>
        <v>8.686056032181122E-2</v>
      </c>
      <c r="AL52">
        <v>8.5045366843473025E-2</v>
      </c>
      <c r="AM52">
        <v>-6.5111978925634556E-2</v>
      </c>
      <c r="AO52" t="s">
        <v>29</v>
      </c>
      <c r="AQ52">
        <v>28091</v>
      </c>
      <c r="AR52">
        <f t="shared" si="18"/>
        <v>14494.269553578624</v>
      </c>
      <c r="AS52">
        <f t="shared" si="19"/>
        <v>11280.995433680404</v>
      </c>
    </row>
    <row r="53" spans="1:45" x14ac:dyDescent="0.25">
      <c r="A53" s="13" t="s">
        <v>123</v>
      </c>
      <c r="B53" s="47" t="s">
        <v>0</v>
      </c>
      <c r="C53" s="48">
        <f>Output!E$4+(AL53*-0.3)+AG53</f>
        <v>0.31993586501014537</v>
      </c>
      <c r="D53" s="49">
        <f>Output!E$5+(AM53*-0.3)+AH53</f>
        <v>0.27166363463060905</v>
      </c>
      <c r="E53" s="49">
        <f>Output!E$6+AI53</f>
        <v>2.7168588420982603E-2</v>
      </c>
      <c r="F53" s="49">
        <f>Output!E$7+AJ53</f>
        <v>0.46766122637793972</v>
      </c>
      <c r="H53" s="48">
        <f t="shared" si="3"/>
        <v>0.29448382951186425</v>
      </c>
      <c r="I53" s="48">
        <f t="shared" si="4"/>
        <v>0.25005182667656467</v>
      </c>
      <c r="J53" s="48">
        <f t="shared" si="5"/>
        <v>2.5007230622265317E-2</v>
      </c>
      <c r="K53" s="48">
        <f t="shared" si="6"/>
        <v>0.43045711318930568</v>
      </c>
      <c r="M53" s="50">
        <f t="shared" si="7"/>
        <v>0.24891506100856825</v>
      </c>
      <c r="N53" s="50">
        <f t="shared" si="8"/>
        <v>0.16123657802755934</v>
      </c>
      <c r="P53" s="49">
        <f t="shared" si="9"/>
        <v>0.40785576443894894</v>
      </c>
      <c r="Q53" s="49">
        <f t="shared" si="10"/>
        <v>0.32348933888631015</v>
      </c>
      <c r="S53" s="49">
        <f t="shared" si="11"/>
        <v>0.5576789433395013</v>
      </c>
      <c r="T53" s="49">
        <f t="shared" si="12"/>
        <v>0.44232105666049859</v>
      </c>
      <c r="V53" t="s">
        <v>135</v>
      </c>
      <c r="W53" s="51">
        <f t="shared" si="13"/>
        <v>0</v>
      </c>
      <c r="X53" s="51">
        <f t="shared" si="23"/>
        <v>0</v>
      </c>
      <c r="Y53" s="51">
        <f t="shared" si="24"/>
        <v>0</v>
      </c>
      <c r="Z53" s="51">
        <f t="shared" si="22"/>
        <v>0</v>
      </c>
      <c r="AA53" s="53">
        <f t="shared" si="25"/>
        <v>0</v>
      </c>
      <c r="AB53" s="54">
        <f t="shared" si="15"/>
        <v>0.55213961749680462</v>
      </c>
      <c r="AC53" s="57">
        <f t="shared" si="16"/>
        <v>0.9401358829934604</v>
      </c>
      <c r="AE53" s="46"/>
      <c r="AF53" s="46"/>
      <c r="AG53">
        <v>0.35741609287163623</v>
      </c>
      <c r="AH53">
        <v>0.11768619232944151</v>
      </c>
      <c r="AI53">
        <v>2.7608688420982602E-2</v>
      </c>
      <c r="AJ53">
        <f t="shared" si="17"/>
        <v>0.4972890263779397</v>
      </c>
      <c r="AL53">
        <v>-0.13918390712836376</v>
      </c>
      <c r="AM53">
        <v>-0.14891380767055851</v>
      </c>
      <c r="AO53" t="s">
        <v>29</v>
      </c>
      <c r="AQ53">
        <v>30063</v>
      </c>
      <c r="AR53">
        <f t="shared" si="18"/>
        <v>12261.367846328121</v>
      </c>
      <c r="AS53">
        <f t="shared" si="19"/>
        <v>9725.0599949391417</v>
      </c>
    </row>
    <row r="54" spans="1:45" x14ac:dyDescent="0.25">
      <c r="A54" s="13" t="s">
        <v>124</v>
      </c>
      <c r="B54" s="47" t="s">
        <v>0</v>
      </c>
      <c r="C54" s="48">
        <f>Output!E$4+(AL54*-0.3)+AG54</f>
        <v>0.52567018818165234</v>
      </c>
      <c r="D54" s="49">
        <f>Output!E$5+(AM54*-0.3)+AH54</f>
        <v>0.31858477729345247</v>
      </c>
      <c r="E54" s="49">
        <f>Output!E$6+AI54</f>
        <v>7.4081147492248769E-2</v>
      </c>
      <c r="F54" s="49">
        <f>Output!E$7+AJ54</f>
        <v>5.9812287543315773E-2</v>
      </c>
      <c r="H54" s="48">
        <f t="shared" si="3"/>
        <v>0.53741353347530052</v>
      </c>
      <c r="I54" s="48">
        <f t="shared" si="4"/>
        <v>0.32570188442482395</v>
      </c>
      <c r="J54" s="48">
        <f t="shared" si="5"/>
        <v>7.5736102470312955E-2</v>
      </c>
      <c r="K54" s="48">
        <f t="shared" si="6"/>
        <v>6.1148479629562463E-2</v>
      </c>
      <c r="M54" s="50">
        <f t="shared" si="7"/>
        <v>0.2088532883768956</v>
      </c>
      <c r="N54" s="50">
        <f t="shared" si="8"/>
        <v>0.31416004966782435</v>
      </c>
      <c r="P54" s="49">
        <f t="shared" si="9"/>
        <v>0.56600232857495669</v>
      </c>
      <c r="Q54" s="49">
        <f t="shared" si="10"/>
        <v>0.3687055515360802</v>
      </c>
      <c r="S54" s="49">
        <f t="shared" si="11"/>
        <v>0.60553927127234608</v>
      </c>
      <c r="T54" s="49">
        <f t="shared" si="12"/>
        <v>0.39446072872765392</v>
      </c>
      <c r="V54" t="s">
        <v>135</v>
      </c>
      <c r="W54" s="51">
        <f t="shared" si="13"/>
        <v>0</v>
      </c>
      <c r="X54" s="51">
        <f t="shared" si="23"/>
        <v>0</v>
      </c>
      <c r="Y54" s="51">
        <f t="shared" si="24"/>
        <v>0</v>
      </c>
      <c r="Z54" s="51">
        <f t="shared" si="22"/>
        <v>0</v>
      </c>
      <c r="AA54" s="53">
        <f t="shared" si="25"/>
        <v>0</v>
      </c>
      <c r="AB54" s="54">
        <f t="shared" si="15"/>
        <v>0.59999994542964941</v>
      </c>
      <c r="AC54" s="57">
        <f t="shared" si="16"/>
        <v>0.99857807474868798</v>
      </c>
      <c r="AE54" s="46"/>
      <c r="AF54" s="46"/>
      <c r="AG54">
        <v>0.65132226883093192</v>
      </c>
      <c r="AH54">
        <v>0.18471639613350355</v>
      </c>
      <c r="AI54">
        <v>7.4521247492248768E-2</v>
      </c>
      <c r="AJ54">
        <f t="shared" si="17"/>
        <v>8.9440087543315783E-2</v>
      </c>
      <c r="AL54">
        <v>0.15472226883093193</v>
      </c>
      <c r="AM54">
        <v>-8.1883603866496457E-2</v>
      </c>
      <c r="AO54" t="s">
        <v>151</v>
      </c>
      <c r="AQ54">
        <v>27415</v>
      </c>
      <c r="AR54">
        <f t="shared" si="18"/>
        <v>15516.953837882438</v>
      </c>
      <c r="AS54">
        <f t="shared" si="19"/>
        <v>10108.062695361639</v>
      </c>
    </row>
    <row r="55" spans="1:45" x14ac:dyDescent="0.25">
      <c r="A55" s="13" t="s">
        <v>77</v>
      </c>
      <c r="B55" s="47" t="s">
        <v>0</v>
      </c>
      <c r="C55" s="48">
        <f>Output!E$4+(AL55*-0.3)+AG55</f>
        <v>0.3962624020168759</v>
      </c>
      <c r="D55" s="49">
        <f>Output!E$5+(AM55*-0.3)+AH55</f>
        <v>0.39022656679014889</v>
      </c>
      <c r="E55" s="49">
        <f>Output!E$6+AI55</f>
        <v>3.3002995287096111E-2</v>
      </c>
      <c r="F55" s="49">
        <f>Output!E$7+AJ55</f>
        <v>0.18341329213143995</v>
      </c>
      <c r="H55" s="48">
        <f t="shared" si="3"/>
        <v>0.39511449317576763</v>
      </c>
      <c r="I55" s="48">
        <f t="shared" si="4"/>
        <v>0.3890961427989405</v>
      </c>
      <c r="J55" s="48">
        <f t="shared" si="5"/>
        <v>3.2907390884860901E-2</v>
      </c>
      <c r="K55" s="48">
        <f t="shared" si="6"/>
        <v>0.18288197314043084</v>
      </c>
      <c r="M55" s="50">
        <f t="shared" si="7"/>
        <v>0.23635422549809945</v>
      </c>
      <c r="N55" s="50">
        <f t="shared" si="8"/>
        <v>0.20220359205042773</v>
      </c>
      <c r="P55" s="49">
        <f t="shared" si="9"/>
        <v>0.44611722118069291</v>
      </c>
      <c r="Q55" s="49">
        <f t="shared" si="10"/>
        <v>0.43272952733113185</v>
      </c>
      <c r="S55" s="49">
        <f t="shared" si="11"/>
        <v>0.50761662592040691</v>
      </c>
      <c r="T55" s="49">
        <f t="shared" si="12"/>
        <v>0.49238337407959304</v>
      </c>
      <c r="V55" t="s">
        <v>137</v>
      </c>
      <c r="W55" s="51">
        <f t="shared" si="13"/>
        <v>1</v>
      </c>
      <c r="X55" s="51">
        <f t="shared" si="23"/>
        <v>0</v>
      </c>
      <c r="Y55" s="51">
        <f t="shared" si="24"/>
        <v>0</v>
      </c>
      <c r="Z55" s="51">
        <f t="shared" si="22"/>
        <v>0</v>
      </c>
      <c r="AA55" s="53">
        <f t="shared" si="25"/>
        <v>-0.01</v>
      </c>
      <c r="AB55" s="54">
        <f t="shared" si="15"/>
        <v>0.49207730007771028</v>
      </c>
      <c r="AC55" s="57">
        <f t="shared" si="16"/>
        <v>0.40655188852463686</v>
      </c>
      <c r="AE55" s="46"/>
      <c r="AF55" s="46"/>
      <c r="AG55">
        <v>0.46645400288125127</v>
      </c>
      <c r="AH55">
        <v>0.28706180970021267</v>
      </c>
      <c r="AI55">
        <v>3.344309528709611E-2</v>
      </c>
      <c r="AJ55">
        <f t="shared" si="17"/>
        <v>0.21304109213143996</v>
      </c>
      <c r="AL55">
        <v>-3.0145997118748713E-2</v>
      </c>
      <c r="AM55">
        <v>2.0461809700212663E-2</v>
      </c>
      <c r="AO55" t="s">
        <v>29</v>
      </c>
      <c r="AQ55">
        <v>29154</v>
      </c>
      <c r="AR55">
        <f t="shared" si="18"/>
        <v>13006.101466301921</v>
      </c>
      <c r="AS55">
        <f t="shared" si="19"/>
        <v>12615.796639811819</v>
      </c>
    </row>
    <row r="56" spans="1:45" x14ac:dyDescent="0.25">
      <c r="A56" s="13" t="s">
        <v>78</v>
      </c>
      <c r="B56" s="47" t="s">
        <v>0</v>
      </c>
      <c r="C56" s="48">
        <f>Output!E$4+(AL56*-0.3)+AG56</f>
        <v>0.51261208732802321</v>
      </c>
      <c r="D56" s="49">
        <f>Output!E$5+(AM56*-0.3)+AH56</f>
        <v>0.29886572819213131</v>
      </c>
      <c r="E56" s="49">
        <f>Output!E$6+AI56</f>
        <v>0.13752065997379401</v>
      </c>
      <c r="F56" s="49">
        <f>Output!E$7+AJ56</f>
        <v>4.3197274997413965E-2</v>
      </c>
      <c r="H56" s="48">
        <f t="shared" si="3"/>
        <v>0.51664410684500883</v>
      </c>
      <c r="I56" s="48">
        <f t="shared" si="4"/>
        <v>0.30121649688997842</v>
      </c>
      <c r="J56" s="48">
        <f t="shared" si="5"/>
        <v>0.13860234727440629</v>
      </c>
      <c r="K56" s="48">
        <f t="shared" si="6"/>
        <v>4.3537048990606432E-2</v>
      </c>
      <c r="M56" s="50">
        <f t="shared" si="7"/>
        <v>0.18992946049461507</v>
      </c>
      <c r="N56" s="50">
        <f t="shared" si="8"/>
        <v>0.3830962685666221</v>
      </c>
      <c r="P56" s="49">
        <f t="shared" si="9"/>
        <v>0.55123774411243764</v>
      </c>
      <c r="Q56" s="49">
        <f t="shared" si="10"/>
        <v>0.37099341995808216</v>
      </c>
      <c r="S56" s="49">
        <f t="shared" si="11"/>
        <v>0.59772187883935612</v>
      </c>
      <c r="T56" s="49">
        <f t="shared" si="12"/>
        <v>0.40227812116064382</v>
      </c>
      <c r="V56" t="s">
        <v>137</v>
      </c>
      <c r="W56" s="51">
        <f t="shared" si="13"/>
        <v>1</v>
      </c>
      <c r="X56" s="51">
        <f t="shared" si="23"/>
        <v>0</v>
      </c>
      <c r="Y56" s="51">
        <f t="shared" si="24"/>
        <v>0</v>
      </c>
      <c r="Z56" s="51">
        <f t="shared" si="22"/>
        <v>0</v>
      </c>
      <c r="AA56" s="53">
        <f t="shared" si="25"/>
        <v>-0.01</v>
      </c>
      <c r="AB56" s="54">
        <f t="shared" si="15"/>
        <v>0.58218255299665944</v>
      </c>
      <c r="AC56" s="57">
        <f t="shared" si="16"/>
        <v>0.99290537546921731</v>
      </c>
      <c r="AE56" s="46"/>
      <c r="AF56" s="46"/>
      <c r="AG56">
        <v>0.6326678390400331</v>
      </c>
      <c r="AH56">
        <v>0.15654632598875901</v>
      </c>
      <c r="AI56">
        <v>0.13796075997379401</v>
      </c>
      <c r="AJ56">
        <f t="shared" si="17"/>
        <v>7.2825074997413974E-2</v>
      </c>
      <c r="AL56">
        <v>0.13606783904003311</v>
      </c>
      <c r="AM56">
        <v>-0.110053674011241</v>
      </c>
      <c r="AO56" t="s">
        <v>151</v>
      </c>
      <c r="AQ56">
        <v>29001</v>
      </c>
      <c r="AR56">
        <f t="shared" si="18"/>
        <v>15986.445817004804</v>
      </c>
      <c r="AS56">
        <f t="shared" si="19"/>
        <v>10759.18017220434</v>
      </c>
    </row>
    <row r="57" spans="1:45" x14ac:dyDescent="0.25">
      <c r="A57" s="13" t="s">
        <v>79</v>
      </c>
      <c r="B57" s="47" t="s">
        <v>0</v>
      </c>
      <c r="C57" s="48">
        <f>Output!E$4+(AL57*-0.3)+AG57</f>
        <v>0.39887002771993085</v>
      </c>
      <c r="D57" s="49">
        <f>Output!E$5+(AM57*-0.3)+AH57</f>
        <v>0.44652602416203685</v>
      </c>
      <c r="E57" s="49">
        <f>Output!E$6+AI57</f>
        <v>5.5926948088597814E-2</v>
      </c>
      <c r="F57" s="49">
        <f>Output!E$7+AJ57</f>
        <v>7.633636350859116E-2</v>
      </c>
      <c r="H57" s="48">
        <f t="shared" si="3"/>
        <v>0.40798466482281548</v>
      </c>
      <c r="I57" s="48">
        <f t="shared" si="4"/>
        <v>0.45672965538119825</v>
      </c>
      <c r="J57" s="48">
        <f t="shared" si="5"/>
        <v>5.7204942925696389E-2</v>
      </c>
      <c r="K57" s="48">
        <f t="shared" si="6"/>
        <v>7.8080736870289921E-2</v>
      </c>
      <c r="M57" s="50">
        <f t="shared" si="7"/>
        <v>0.20782115734555867</v>
      </c>
      <c r="N57" s="50">
        <f t="shared" si="8"/>
        <v>0.30105292616754997</v>
      </c>
      <c r="P57" s="49">
        <f t="shared" si="9"/>
        <v>0.43609989137029803</v>
      </c>
      <c r="Q57" s="49">
        <f t="shared" si="10"/>
        <v>0.49745780515234611</v>
      </c>
      <c r="S57" s="49">
        <f t="shared" si="11"/>
        <v>0.46713758881181272</v>
      </c>
      <c r="T57" s="49">
        <f t="shared" si="12"/>
        <v>0.53286241118818722</v>
      </c>
      <c r="V57" t="s">
        <v>146</v>
      </c>
      <c r="W57" s="51">
        <f t="shared" si="13"/>
        <v>0</v>
      </c>
      <c r="X57" s="51">
        <f t="shared" si="23"/>
        <v>1</v>
      </c>
      <c r="Y57" s="51">
        <f t="shared" si="24"/>
        <v>1</v>
      </c>
      <c r="Z57" s="51">
        <f t="shared" si="22"/>
        <v>0</v>
      </c>
      <c r="AA57" s="53">
        <f t="shared" si="25"/>
        <v>1.3999999999999999E-2</v>
      </c>
      <c r="AB57" s="54">
        <f t="shared" si="15"/>
        <v>0.47559826296911611</v>
      </c>
      <c r="AC57" s="57">
        <f t="shared" si="16"/>
        <v>0.2332516484322279</v>
      </c>
      <c r="AE57" s="46"/>
      <c r="AF57" s="46"/>
      <c r="AG57">
        <v>0.47017918245704404</v>
      </c>
      <c r="AH57">
        <v>0.36748960594576696</v>
      </c>
      <c r="AI57">
        <v>5.6367048088597813E-2</v>
      </c>
      <c r="AJ57">
        <f t="shared" si="17"/>
        <v>0.10596416350859117</v>
      </c>
      <c r="AL57">
        <v>-2.6420817542955943E-2</v>
      </c>
      <c r="AM57">
        <v>0.10088960594576696</v>
      </c>
      <c r="AO57" t="s">
        <v>151</v>
      </c>
      <c r="AQ57">
        <v>27179</v>
      </c>
      <c r="AR57">
        <f t="shared" si="18"/>
        <v>11852.75894755333</v>
      </c>
      <c r="AS57">
        <f t="shared" si="19"/>
        <v>13520.405686235616</v>
      </c>
    </row>
    <row r="58" spans="1:45" x14ac:dyDescent="0.25">
      <c r="A58" s="13" t="s">
        <v>80</v>
      </c>
      <c r="B58" s="47" t="s">
        <v>0</v>
      </c>
      <c r="C58" s="48">
        <f>Output!E$4+(AL58*-0.3)+AG58</f>
        <v>0.4039061883624927</v>
      </c>
      <c r="D58" s="49">
        <f>Output!E$5+(AM58*-0.3)+AH58</f>
        <v>0.38977474879103596</v>
      </c>
      <c r="E58" s="49">
        <f>Output!E$6+AI58</f>
        <v>0.20671539439748379</v>
      </c>
      <c r="F58" s="49">
        <f>Output!E$7+AJ58</f>
        <v>-5.7334747395323959E-4</v>
      </c>
      <c r="H58" s="48">
        <f t="shared" si="3"/>
        <v>0.40374617101631843</v>
      </c>
      <c r="I58" s="48">
        <f t="shared" si="4"/>
        <v>0.38962032996135637</v>
      </c>
      <c r="J58" s="48">
        <f t="shared" si="5"/>
        <v>0.20663349902232514</v>
      </c>
      <c r="K58" s="48">
        <f t="shared" si="6"/>
        <v>0</v>
      </c>
      <c r="M58" s="50">
        <f t="shared" si="7"/>
        <v>0.15629231972382393</v>
      </c>
      <c r="N58" s="50">
        <f t="shared" si="8"/>
        <v>0.49014828648814179</v>
      </c>
      <c r="P58" s="49">
        <f t="shared" si="9"/>
        <v>0.43604139991116814</v>
      </c>
      <c r="Q58" s="49">
        <f t="shared" si="10"/>
        <v>0.49090138543819817</v>
      </c>
      <c r="S58" s="49">
        <f t="shared" si="11"/>
        <v>0.47040810587551352</v>
      </c>
      <c r="T58" s="49">
        <f t="shared" si="12"/>
        <v>0.52959189412448637</v>
      </c>
      <c r="V58" t="s">
        <v>146</v>
      </c>
      <c r="W58" s="51">
        <f t="shared" si="13"/>
        <v>0</v>
      </c>
      <c r="X58" s="51">
        <f t="shared" si="23"/>
        <v>1</v>
      </c>
      <c r="Y58" s="51">
        <f t="shared" si="24"/>
        <v>1</v>
      </c>
      <c r="Z58" s="51">
        <f t="shared" si="22"/>
        <v>0</v>
      </c>
      <c r="AA58" s="53">
        <f t="shared" si="25"/>
        <v>1.3999999999999999E-2</v>
      </c>
      <c r="AB58" s="54">
        <f t="shared" si="15"/>
        <v>0.47886878003281691</v>
      </c>
      <c r="AC58" s="57">
        <f t="shared" si="16"/>
        <v>0.26415640733879697</v>
      </c>
      <c r="AE58" s="46"/>
      <c r="AF58" s="46"/>
      <c r="AG58">
        <v>0.47737369766070376</v>
      </c>
      <c r="AH58">
        <v>0.28641635541576566</v>
      </c>
      <c r="AI58">
        <v>0.20715549439748379</v>
      </c>
      <c r="AJ58">
        <f t="shared" si="17"/>
        <v>2.905445252604677E-2</v>
      </c>
      <c r="AL58">
        <v>-1.9226302339296231E-2</v>
      </c>
      <c r="AM58">
        <v>1.9816355415765652E-2</v>
      </c>
      <c r="AO58" t="s">
        <v>151</v>
      </c>
      <c r="AQ58">
        <v>25435</v>
      </c>
      <c r="AR58">
        <f t="shared" si="18"/>
        <v>11090.713006740561</v>
      </c>
      <c r="AS58">
        <f t="shared" si="19"/>
        <v>12486.07673862057</v>
      </c>
    </row>
    <row r="59" spans="1:45" x14ac:dyDescent="0.25">
      <c r="A59" s="13" t="s">
        <v>129</v>
      </c>
      <c r="B59" s="47" t="s">
        <v>153</v>
      </c>
      <c r="C59" s="48">
        <f>Output!E$4+(AL59*-0.3)+AG59</f>
        <v>0.27671291448034502</v>
      </c>
      <c r="D59" s="49">
        <f>Output!E$5+(AM59*-0.3)+AH59</f>
        <v>0.37582164135366536</v>
      </c>
      <c r="E59" s="49">
        <f>Output!E$6+AI59</f>
        <v>2.130854070995563E-2</v>
      </c>
      <c r="F59" s="49">
        <f>Output!E$7+AJ59</f>
        <v>0.38647119381288675</v>
      </c>
      <c r="H59" s="48">
        <f t="shared" si="3"/>
        <v>0.2609725408748535</v>
      </c>
      <c r="I59" s="48">
        <f t="shared" si="4"/>
        <v>0.35444362560385861</v>
      </c>
      <c r="J59" s="48">
        <f t="shared" si="5"/>
        <v>2.0096438295464415E-2</v>
      </c>
      <c r="K59" s="48">
        <f t="shared" si="6"/>
        <v>0.36448739522582346</v>
      </c>
      <c r="M59" s="50">
        <f t="shared" si="7"/>
        <v>0.23877699122313636</v>
      </c>
      <c r="N59" s="50">
        <f t="shared" si="8"/>
        <v>0.18461476739307867</v>
      </c>
      <c r="P59" s="49">
        <f t="shared" si="9"/>
        <v>0.35280231151612618</v>
      </c>
      <c r="Q59" s="49">
        <f t="shared" si="10"/>
        <v>0.42544348057252968</v>
      </c>
      <c r="S59" s="49">
        <f t="shared" si="11"/>
        <v>0.45333018835768507</v>
      </c>
      <c r="T59" s="49">
        <f t="shared" si="12"/>
        <v>0.54666981164231487</v>
      </c>
      <c r="V59" t="s">
        <v>139</v>
      </c>
      <c r="W59" s="51">
        <f t="shared" si="13"/>
        <v>0</v>
      </c>
      <c r="X59" s="51">
        <f t="shared" si="23"/>
        <v>0</v>
      </c>
      <c r="Y59" s="51">
        <f t="shared" si="24"/>
        <v>0</v>
      </c>
      <c r="Z59" s="51">
        <f t="shared" si="22"/>
        <v>0</v>
      </c>
      <c r="AA59" s="53" t="str">
        <f t="shared" si="25"/>
        <v/>
      </c>
      <c r="AB59" s="54"/>
      <c r="AC59" s="57"/>
      <c r="AE59" s="46"/>
      <c r="AF59" s="46"/>
      <c r="AG59">
        <v>0.2956690206862071</v>
      </c>
      <c r="AH59">
        <v>0.26648334479095054</v>
      </c>
      <c r="AI59">
        <v>2.1748640709955629E-2</v>
      </c>
      <c r="AJ59">
        <f t="shared" si="17"/>
        <v>0.41609899381288673</v>
      </c>
      <c r="AL59">
        <v>-0.20093097931379289</v>
      </c>
      <c r="AM59">
        <v>-1.1665520904946547E-4</v>
      </c>
      <c r="AO59" t="s">
        <v>29</v>
      </c>
      <c r="AQ59">
        <v>16001</v>
      </c>
      <c r="AR59">
        <f t="shared" si="18"/>
        <v>5645.1897865695346</v>
      </c>
      <c r="AS59">
        <f t="shared" si="19"/>
        <v>6807.5211326410472</v>
      </c>
    </row>
    <row r="60" spans="1:45" x14ac:dyDescent="0.25">
      <c r="A60" s="13" t="s">
        <v>81</v>
      </c>
      <c r="B60" s="47" t="s">
        <v>0</v>
      </c>
      <c r="C60" s="48">
        <f>Output!E$4+(AL60*-0.3)+AG60</f>
        <v>0.47083021469755282</v>
      </c>
      <c r="D60" s="49">
        <f>Output!E$5+(AM60*-0.3)+AH60</f>
        <v>0.36937915360540263</v>
      </c>
      <c r="E60" s="49">
        <f>Output!E$6+AI60</f>
        <v>9.7374147331348485E-2</v>
      </c>
      <c r="F60" s="49">
        <f>Output!E$7+AJ60</f>
        <v>4.2298712235857988E-2</v>
      </c>
      <c r="H60" s="48">
        <f t="shared" si="3"/>
        <v>0.48049673859371145</v>
      </c>
      <c r="I60" s="48">
        <f t="shared" si="4"/>
        <v>0.37696280542639532</v>
      </c>
      <c r="J60" s="48">
        <f t="shared" si="5"/>
        <v>9.9373317080153151E-2</v>
      </c>
      <c r="K60" s="48">
        <f t="shared" si="6"/>
        <v>4.3167138899740026E-2</v>
      </c>
      <c r="M60" s="50">
        <f t="shared" si="7"/>
        <v>0.18964307626104585</v>
      </c>
      <c r="N60" s="50">
        <f t="shared" si="8"/>
        <v>0.37617363449715696</v>
      </c>
      <c r="P60" s="49">
        <f t="shared" si="9"/>
        <v>0.50752854915739054</v>
      </c>
      <c r="Q60" s="49">
        <f t="shared" si="10"/>
        <v>0.43058276681523378</v>
      </c>
      <c r="S60" s="49">
        <f t="shared" si="11"/>
        <v>0.54101100851895179</v>
      </c>
      <c r="T60" s="49">
        <f t="shared" si="12"/>
        <v>0.45898899148104821</v>
      </c>
      <c r="V60" t="s">
        <v>143</v>
      </c>
      <c r="W60" s="51">
        <f t="shared" si="13"/>
        <v>0</v>
      </c>
      <c r="X60" s="51">
        <v>1</v>
      </c>
      <c r="Y60" s="51">
        <v>1</v>
      </c>
      <c r="Z60" s="51">
        <f t="shared" si="22"/>
        <v>0</v>
      </c>
      <c r="AA60" s="55">
        <v>4.0000000000000001E-3</v>
      </c>
      <c r="AB60" s="54">
        <f t="shared" si="15"/>
        <v>0.53947168267625512</v>
      </c>
      <c r="AC60" s="57">
        <f t="shared" si="16"/>
        <v>0.88057923758978607</v>
      </c>
      <c r="AE60" s="46"/>
      <c r="AF60" s="46"/>
      <c r="AG60">
        <v>0.57297944956793256</v>
      </c>
      <c r="AH60">
        <v>0.25727979086486091</v>
      </c>
      <c r="AI60">
        <v>9.7814247331348483E-2</v>
      </c>
      <c r="AJ60">
        <f t="shared" si="17"/>
        <v>7.1926512235857998E-2</v>
      </c>
      <c r="AL60">
        <v>7.6379449567932578E-2</v>
      </c>
      <c r="AM60">
        <v>-9.3202091351390903E-3</v>
      </c>
      <c r="AO60" t="s">
        <v>151</v>
      </c>
      <c r="AQ60">
        <v>27542</v>
      </c>
      <c r="AR60">
        <f t="shared" si="18"/>
        <v>13978.351300892849</v>
      </c>
      <c r="AS60">
        <f t="shared" si="19"/>
        <v>11859.110563625169</v>
      </c>
    </row>
    <row r="61" spans="1:45" x14ac:dyDescent="0.25">
      <c r="A61" s="13" t="s">
        <v>82</v>
      </c>
      <c r="B61" s="47" t="s">
        <v>0</v>
      </c>
      <c r="C61" s="48">
        <f>Output!E$4+(AL61*-0.3)+AG61</f>
        <v>0.50158669544419987</v>
      </c>
      <c r="D61" s="49">
        <f>Output!E$5+(AM61*-0.3)+AH61</f>
        <v>0.31342419026528856</v>
      </c>
      <c r="E61" s="49">
        <f>Output!E$6+AI61</f>
        <v>7.6273455464348341E-2</v>
      </c>
      <c r="F61" s="49">
        <f>Output!E$7+AJ61</f>
        <v>9.9397236379239556E-2</v>
      </c>
      <c r="H61" s="48">
        <f t="shared" si="3"/>
        <v>0.50630465611674003</v>
      </c>
      <c r="I61" s="48">
        <f t="shared" si="4"/>
        <v>0.31637228082854568</v>
      </c>
      <c r="J61" s="48">
        <f t="shared" si="5"/>
        <v>7.6990889093485684E-2</v>
      </c>
      <c r="K61" s="48">
        <f t="shared" si="6"/>
        <v>0.10033217396122851</v>
      </c>
      <c r="M61" s="50">
        <f t="shared" si="7"/>
        <v>0.21952625842242296</v>
      </c>
      <c r="N61" s="50">
        <f t="shared" si="8"/>
        <v>0.27504624434076974</v>
      </c>
      <c r="P61" s="49">
        <f t="shared" si="9"/>
        <v>0.54523172468114478</v>
      </c>
      <c r="Q61" s="49">
        <f t="shared" si="10"/>
        <v>0.36514432335674629</v>
      </c>
      <c r="S61" s="49">
        <f t="shared" si="11"/>
        <v>0.59890824880143545</v>
      </c>
      <c r="T61" s="49">
        <f t="shared" si="12"/>
        <v>0.40109175119856461</v>
      </c>
      <c r="V61" t="s">
        <v>135</v>
      </c>
      <c r="W61" s="51">
        <f t="shared" si="13"/>
        <v>0</v>
      </c>
      <c r="X61" s="51">
        <f>IF(V61="ALPSOPWIN",1,IF(V61="LNPSOPWIN",1,0))</f>
        <v>0</v>
      </c>
      <c r="Y61" s="51">
        <f>IF(V61="ALPSOPWIN",1,IF(V61="LNPSOPWIN",1,0))</f>
        <v>0</v>
      </c>
      <c r="Z61" s="51">
        <f t="shared" si="22"/>
        <v>0</v>
      </c>
      <c r="AA61" s="53">
        <f t="shared" si="25"/>
        <v>0</v>
      </c>
      <c r="AB61" s="54">
        <f t="shared" si="15"/>
        <v>0.59336892295873878</v>
      </c>
      <c r="AC61" s="57">
        <f t="shared" si="16"/>
        <v>0.99733393347178312</v>
      </c>
      <c r="AE61" s="46"/>
      <c r="AF61" s="46"/>
      <c r="AG61">
        <v>0.61691727920599981</v>
      </c>
      <c r="AH61">
        <v>0.17734412895041229</v>
      </c>
      <c r="AI61">
        <v>7.671355546434834E-2</v>
      </c>
      <c r="AJ61">
        <f t="shared" si="17"/>
        <v>0.12902503637923957</v>
      </c>
      <c r="AL61">
        <v>0.12031727920599983</v>
      </c>
      <c r="AM61">
        <v>-8.9255871049587709E-2</v>
      </c>
      <c r="AO61" t="s">
        <v>151</v>
      </c>
      <c r="AQ61">
        <v>26801</v>
      </c>
      <c r="AR61">
        <f t="shared" si="18"/>
        <v>14612.755453179361</v>
      </c>
      <c r="AS61">
        <f t="shared" si="19"/>
        <v>9786.233010284157</v>
      </c>
    </row>
    <row r="62" spans="1:45" x14ac:dyDescent="0.25">
      <c r="A62" s="13" t="s">
        <v>83</v>
      </c>
      <c r="B62" s="47" t="s">
        <v>1</v>
      </c>
      <c r="C62" s="48">
        <f>Output!E$4+(AL62*-0.3)+AG62</f>
        <v>0.29374570549589391</v>
      </c>
      <c r="D62" s="49">
        <f>Output!E$5+(AM62*-0.3)+AH62</f>
        <v>0.43080651541377135</v>
      </c>
      <c r="E62" s="49">
        <f>Output!E$6+AI62</f>
        <v>3.5054214592545797E-2</v>
      </c>
      <c r="F62" s="49">
        <f>Output!E$7+AJ62</f>
        <v>0.26984314125078956</v>
      </c>
      <c r="H62" s="48">
        <f t="shared" si="3"/>
        <v>0.28534248993758471</v>
      </c>
      <c r="I62" s="48">
        <f t="shared" si="4"/>
        <v>0.41848238625983358</v>
      </c>
      <c r="J62" s="48">
        <f t="shared" si="5"/>
        <v>3.4051414837733697E-2</v>
      </c>
      <c r="K62" s="48">
        <f t="shared" si="6"/>
        <v>0.2621237089648481</v>
      </c>
      <c r="M62" s="50">
        <f t="shared" si="7"/>
        <v>0.23115990130206829</v>
      </c>
      <c r="N62" s="50">
        <f t="shared" si="8"/>
        <v>0.20987824281019343</v>
      </c>
      <c r="P62" s="49">
        <f t="shared" si="9"/>
        <v>0.35380630232391741</v>
      </c>
      <c r="Q62" s="49">
        <f t="shared" si="10"/>
        <v>0.48064310080761097</v>
      </c>
      <c r="S62" s="49">
        <f t="shared" si="11"/>
        <v>0.42399970686796623</v>
      </c>
      <c r="T62" s="49">
        <f t="shared" si="12"/>
        <v>0.57600029313203382</v>
      </c>
      <c r="V62" t="s">
        <v>136</v>
      </c>
      <c r="W62" s="51">
        <f t="shared" si="13"/>
        <v>0</v>
      </c>
      <c r="X62" s="51">
        <f>IF(V62="ALPSOPWIN",1,IF(V62="LNPSOPWIN",1,0))</f>
        <v>0</v>
      </c>
      <c r="Y62" s="51">
        <f>IF(V62="ALPSOPWIN",1,IF(V62="LNPSOPWIN",1,0))</f>
        <v>0</v>
      </c>
      <c r="Z62" s="51">
        <f t="shared" si="22"/>
        <v>0</v>
      </c>
      <c r="AA62" s="53">
        <f t="shared" si="25"/>
        <v>0</v>
      </c>
      <c r="AB62" s="54">
        <f t="shared" si="15"/>
        <v>0.41846038102526961</v>
      </c>
      <c r="AC62" s="57">
        <f t="shared" si="16"/>
        <v>7.4819759009047138E-3</v>
      </c>
      <c r="AE62" s="46"/>
      <c r="AF62" s="46"/>
      <c r="AG62">
        <v>0.3200015792798484</v>
      </c>
      <c r="AH62">
        <v>0.34503316487681618</v>
      </c>
      <c r="AI62">
        <v>3.5494314592545796E-2</v>
      </c>
      <c r="AJ62">
        <f t="shared" si="17"/>
        <v>0.29947094125078955</v>
      </c>
      <c r="AL62">
        <v>-0.17659842072015158</v>
      </c>
      <c r="AM62">
        <v>7.8433164876816175E-2</v>
      </c>
      <c r="AO62" t="s">
        <v>29</v>
      </c>
      <c r="AQ62">
        <v>25328</v>
      </c>
      <c r="AR62">
        <f t="shared" si="18"/>
        <v>8961.2060252601805</v>
      </c>
      <c r="AS62">
        <f t="shared" si="19"/>
        <v>12173.728457255171</v>
      </c>
    </row>
    <row r="63" spans="1:45" x14ac:dyDescent="0.25">
      <c r="A63" s="13" t="s">
        <v>84</v>
      </c>
      <c r="B63" s="47" t="s">
        <v>0</v>
      </c>
      <c r="C63" s="48">
        <f>Output!E$4+(AL63*-0.3)+AG63</f>
        <v>0.37311173519439339</v>
      </c>
      <c r="D63" s="49">
        <f>Output!E$5+(AM63*-0.3)+AH63</f>
        <v>0.36931932051603306</v>
      </c>
      <c r="E63" s="49">
        <f>Output!E$6+AI63</f>
        <v>4.979285877217024E-2</v>
      </c>
      <c r="F63" s="49">
        <f>Output!E$7+AJ63</f>
        <v>0.22956330449864912</v>
      </c>
      <c r="H63" s="48">
        <f t="shared" si="3"/>
        <v>0.36515600142894489</v>
      </c>
      <c r="I63" s="48">
        <f t="shared" si="4"/>
        <v>0.36144445111014023</v>
      </c>
      <c r="J63" s="48">
        <f t="shared" si="5"/>
        <v>4.8731142695066489E-2</v>
      </c>
      <c r="K63" s="48">
        <f t="shared" si="6"/>
        <v>0.2246684047658484</v>
      </c>
      <c r="M63" s="50">
        <f t="shared" si="7"/>
        <v>0.23379436905936832</v>
      </c>
      <c r="N63" s="50">
        <f t="shared" si="8"/>
        <v>0.21124910531332558</v>
      </c>
      <c r="P63" s="49">
        <f t="shared" si="9"/>
        <v>0.42907527612868629</v>
      </c>
      <c r="Q63" s="49">
        <f t="shared" si="10"/>
        <v>0.41919986090432659</v>
      </c>
      <c r="S63" s="49">
        <f t="shared" si="11"/>
        <v>0.50582087980257251</v>
      </c>
      <c r="T63" s="49">
        <f t="shared" si="12"/>
        <v>0.4941791201974276</v>
      </c>
      <c r="V63" t="s">
        <v>143</v>
      </c>
      <c r="W63" s="51">
        <f t="shared" si="13"/>
        <v>0</v>
      </c>
      <c r="X63" s="51">
        <v>1</v>
      </c>
      <c r="Y63" s="51">
        <v>1</v>
      </c>
      <c r="Z63" s="51">
        <f t="shared" si="22"/>
        <v>1</v>
      </c>
      <c r="AA63" s="55">
        <v>1.2E-2</v>
      </c>
      <c r="AB63" s="54">
        <f t="shared" si="15"/>
        <v>0.51228155395987585</v>
      </c>
      <c r="AC63" s="57">
        <f t="shared" si="16"/>
        <v>0.64300319193649225</v>
      </c>
      <c r="AE63" s="46"/>
      <c r="AF63" s="46"/>
      <c r="AG63">
        <v>0.4333816217062762</v>
      </c>
      <c r="AH63">
        <v>0.25719431502290435</v>
      </c>
      <c r="AI63">
        <v>5.0232958772170239E-2</v>
      </c>
      <c r="AJ63">
        <f t="shared" si="17"/>
        <v>0.25919110449864913</v>
      </c>
      <c r="AL63">
        <v>-6.3218378293723787E-2</v>
      </c>
      <c r="AM63">
        <v>-9.4056849770956519E-3</v>
      </c>
      <c r="AO63" t="s">
        <v>29</v>
      </c>
      <c r="AQ63">
        <v>25541</v>
      </c>
      <c r="AR63">
        <f t="shared" si="18"/>
        <v>10959.011627602777</v>
      </c>
      <c r="AS63">
        <f t="shared" si="19"/>
        <v>10706.783647357406</v>
      </c>
    </row>
    <row r="64" spans="1:45" x14ac:dyDescent="0.25">
      <c r="A64" s="13" t="s">
        <v>85</v>
      </c>
      <c r="B64" s="47" t="s">
        <v>0</v>
      </c>
      <c r="C64" s="48">
        <f>Output!E$4+(AL64*-0.3)+AG64</f>
        <v>0.41354925962359201</v>
      </c>
      <c r="D64" s="49">
        <f>Output!E$5+(AM64*-0.3)+AH64</f>
        <v>0.41620906785839223</v>
      </c>
      <c r="E64" s="49">
        <f>Output!E$6+AI64</f>
        <v>4.8325029783810258E-2</v>
      </c>
      <c r="F64" s="49">
        <f>Output!E$7+AJ64</f>
        <v>0.10627788809906943</v>
      </c>
      <c r="H64" s="48">
        <f t="shared" si="3"/>
        <v>0.42011940389862218</v>
      </c>
      <c r="I64" s="48">
        <f t="shared" si="4"/>
        <v>0.42282146906760837</v>
      </c>
      <c r="J64" s="48">
        <f t="shared" si="5"/>
        <v>4.9092779720211428E-2</v>
      </c>
      <c r="K64" s="48">
        <f t="shared" si="6"/>
        <v>0.10796634731355806</v>
      </c>
      <c r="M64" s="50">
        <f t="shared" si="7"/>
        <v>0.22066271532419729</v>
      </c>
      <c r="N64" s="50">
        <f t="shared" si="8"/>
        <v>0.25792149937242548</v>
      </c>
      <c r="P64" s="49">
        <f t="shared" si="9"/>
        <v>0.45477649733634179</v>
      </c>
      <c r="Q64" s="49">
        <f t="shared" si="10"/>
        <v>0.46333039460228242</v>
      </c>
      <c r="S64" s="49">
        <f t="shared" si="11"/>
        <v>0.49534155699023313</v>
      </c>
      <c r="T64" s="49">
        <f t="shared" si="12"/>
        <v>0.50465844300976692</v>
      </c>
      <c r="V64" t="s">
        <v>146</v>
      </c>
      <c r="W64" s="51">
        <f t="shared" si="13"/>
        <v>0</v>
      </c>
      <c r="X64" s="51">
        <f>IF(V64="ALPSOPWIN",1,IF(V64="LNPSOPWIN",1,0))</f>
        <v>1</v>
      </c>
      <c r="Y64" s="51">
        <f>IF(V64="ALPSOPWIN",1,IF(V64="LNPSOPWIN",1,0))</f>
        <v>1</v>
      </c>
      <c r="Z64" s="51">
        <f t="shared" si="22"/>
        <v>0</v>
      </c>
      <c r="AA64" s="53">
        <f t="shared" si="25"/>
        <v>1.3999999999999999E-2</v>
      </c>
      <c r="AB64" s="54">
        <f t="shared" si="15"/>
        <v>0.50380223114753642</v>
      </c>
      <c r="AC64" s="57">
        <f t="shared" si="16"/>
        <v>0.54516849718323335</v>
      </c>
      <c r="AE64" s="46"/>
      <c r="AF64" s="46"/>
      <c r="AG64">
        <v>0.49114951374798854</v>
      </c>
      <c r="AH64">
        <v>0.32417966836913176</v>
      </c>
      <c r="AI64">
        <v>4.8765129783810257E-2</v>
      </c>
      <c r="AJ64">
        <f t="shared" si="17"/>
        <v>0.13590568809906944</v>
      </c>
      <c r="AL64">
        <v>-5.4504862520114439E-3</v>
      </c>
      <c r="AM64">
        <v>5.7579668369131753E-2</v>
      </c>
      <c r="AO64" t="s">
        <v>151</v>
      </c>
      <c r="AQ64">
        <v>28586</v>
      </c>
      <c r="AR64">
        <f t="shared" si="18"/>
        <v>13000.240952856666</v>
      </c>
      <c r="AS64">
        <f t="shared" si="19"/>
        <v>13244.762660100845</v>
      </c>
    </row>
    <row r="65" spans="1:45" x14ac:dyDescent="0.25">
      <c r="A65" s="13" t="s">
        <v>125</v>
      </c>
      <c r="B65" s="47" t="s">
        <v>0</v>
      </c>
      <c r="C65" s="48">
        <f>Output!E$4+(AL65*-0.3)+AG65</f>
        <v>0.38780427133620693</v>
      </c>
      <c r="D65" s="49">
        <f>Output!E$5+(AM65*-0.3)+AH65</f>
        <v>0.26315856939655169</v>
      </c>
      <c r="E65" s="49">
        <f>Output!E$6+AI65</f>
        <v>3.6265180172413793E-2</v>
      </c>
      <c r="F65" s="49">
        <f>Output!E$7+AJ65</f>
        <v>0.37375986163793107</v>
      </c>
      <c r="H65" s="48">
        <f t="shared" si="3"/>
        <v>0.36551244148676892</v>
      </c>
      <c r="I65" s="48">
        <f t="shared" si="4"/>
        <v>0.24803164458936286</v>
      </c>
      <c r="J65" s="48">
        <f t="shared" si="5"/>
        <v>3.4180579033088528E-2</v>
      </c>
      <c r="K65" s="48">
        <f t="shared" si="6"/>
        <v>0.35227533489077978</v>
      </c>
      <c r="M65" s="50">
        <f t="shared" si="7"/>
        <v>0.25061842028758841</v>
      </c>
      <c r="N65" s="50">
        <f t="shared" si="8"/>
        <v>0.16124635948553051</v>
      </c>
      <c r="P65" s="49">
        <f t="shared" si="9"/>
        <v>0.46236541214516502</v>
      </c>
      <c r="Q65" s="49">
        <f t="shared" si="10"/>
        <v>0.31034625381124015</v>
      </c>
      <c r="S65" s="49">
        <f t="shared" si="11"/>
        <v>0.59836732447009644</v>
      </c>
      <c r="T65" s="49">
        <f t="shared" si="12"/>
        <v>0.40163267552990362</v>
      </c>
      <c r="V65" t="s">
        <v>145</v>
      </c>
      <c r="W65" s="51">
        <f t="shared" si="13"/>
        <v>0</v>
      </c>
      <c r="X65" s="51">
        <f>IF(V65="ALPSOPWIN",1,IF(V65="LNPSOPWIN",1,0))</f>
        <v>0</v>
      </c>
      <c r="Y65" s="51">
        <v>1</v>
      </c>
      <c r="Z65" s="51">
        <f t="shared" si="22"/>
        <v>1</v>
      </c>
      <c r="AA65" s="53">
        <f t="shared" si="25"/>
        <v>1.3000000000000001E-2</v>
      </c>
      <c r="AB65" s="54">
        <f t="shared" si="15"/>
        <v>0.60582799862739978</v>
      </c>
      <c r="AC65" s="57">
        <f t="shared" si="16"/>
        <v>0.99920585234388537</v>
      </c>
      <c r="AE65" s="46"/>
      <c r="AF65" s="46"/>
      <c r="AG65">
        <v>0.45437095905172414</v>
      </c>
      <c r="AH65">
        <v>0.10553609913793104</v>
      </c>
      <c r="AI65">
        <v>3.6705280172413791E-2</v>
      </c>
      <c r="AJ65">
        <f t="shared" si="17"/>
        <v>0.40338766163793105</v>
      </c>
      <c r="AL65">
        <v>-4.2229040948275842E-2</v>
      </c>
      <c r="AM65">
        <v>-0.16106390086206895</v>
      </c>
      <c r="AO65" t="s">
        <v>29</v>
      </c>
      <c r="AQ65">
        <v>29696</v>
      </c>
      <c r="AR65">
        <f t="shared" si="18"/>
        <v>13730.403279062821</v>
      </c>
      <c r="AS65">
        <f t="shared" si="19"/>
        <v>9216.0423531785873</v>
      </c>
    </row>
    <row r="66" spans="1:45" x14ac:dyDescent="0.25">
      <c r="A66" s="13" t="s">
        <v>126</v>
      </c>
      <c r="B66" s="47" t="s">
        <v>153</v>
      </c>
      <c r="C66" s="48">
        <f>Output!E$4+(AL66*-0.3)+AG66</f>
        <v>0.32081378698000296</v>
      </c>
      <c r="D66" s="49">
        <f>Output!E$5+(AM66*-0.3)+AH66</f>
        <v>0.2443044647934608</v>
      </c>
      <c r="E66" s="49">
        <f>Output!E$6+AI66</f>
        <v>7.02430119544592E-2</v>
      </c>
      <c r="F66" s="49">
        <f>Output!E$7+AJ66</f>
        <v>0.4624171569405926</v>
      </c>
      <c r="H66" s="48">
        <f t="shared" si="3"/>
        <v>0.29223910849389495</v>
      </c>
      <c r="I66" s="48">
        <f t="shared" si="4"/>
        <v>0.22254442262099342</v>
      </c>
      <c r="J66" s="48">
        <f t="shared" si="5"/>
        <v>6.398651187885733E-2</v>
      </c>
      <c r="K66" s="48">
        <f t="shared" si="6"/>
        <v>0.42122995700625437</v>
      </c>
      <c r="M66" s="50">
        <f t="shared" si="7"/>
        <v>0.24399684557837337</v>
      </c>
      <c r="N66" s="50">
        <f t="shared" si="8"/>
        <v>0.18188819915607601</v>
      </c>
      <c r="P66" s="49">
        <f t="shared" si="9"/>
        <v>0.41063039632453913</v>
      </c>
      <c r="Q66" s="49">
        <f t="shared" si="10"/>
        <v>0.3107995723473766</v>
      </c>
      <c r="S66" s="49">
        <f t="shared" si="11"/>
        <v>0.56918954597973082</v>
      </c>
      <c r="T66" s="49">
        <f t="shared" si="12"/>
        <v>0.43081045402026924</v>
      </c>
      <c r="V66" t="s">
        <v>139</v>
      </c>
      <c r="W66" s="51">
        <f t="shared" si="13"/>
        <v>0</v>
      </c>
      <c r="X66" s="51">
        <f>IF(V66="ALPSOPWIN",1,IF(V66="LNPSOPWIN",1,0))</f>
        <v>0</v>
      </c>
      <c r="Y66" s="51">
        <f>IF(V66="ALPSOPWIN",1,IF(V66="LNPSOPWIN",1,0))</f>
        <v>0</v>
      </c>
      <c r="Z66" s="51">
        <f t="shared" si="22"/>
        <v>0</v>
      </c>
      <c r="AA66" s="53" t="str">
        <f t="shared" si="25"/>
        <v/>
      </c>
      <c r="AB66" s="54"/>
      <c r="AC66" s="57"/>
      <c r="AE66" s="46"/>
      <c r="AF66" s="46"/>
      <c r="AG66">
        <v>0.3586702671142899</v>
      </c>
      <c r="AH66">
        <v>7.8601663990658294E-2</v>
      </c>
      <c r="AI66">
        <v>7.0683111954459199E-2</v>
      </c>
      <c r="AJ66">
        <f t="shared" si="17"/>
        <v>0.49204495694059258</v>
      </c>
      <c r="AL66">
        <v>-0.13792973288571009</v>
      </c>
      <c r="AM66">
        <v>-0.18799833600934171</v>
      </c>
      <c r="AO66" t="s">
        <v>29</v>
      </c>
      <c r="AQ66">
        <v>27404</v>
      </c>
      <c r="AR66">
        <f t="shared" si="18"/>
        <v>11252.91538087767</v>
      </c>
      <c r="AS66">
        <f t="shared" si="19"/>
        <v>8517.1514806075083</v>
      </c>
    </row>
    <row r="67" spans="1:45" x14ac:dyDescent="0.25">
      <c r="A67" s="13" t="s">
        <v>86</v>
      </c>
      <c r="B67" s="47" t="s">
        <v>0</v>
      </c>
      <c r="C67" s="48">
        <f>Output!E$4+(AL67*-0.3)+AG67</f>
        <v>0.49387667346852115</v>
      </c>
      <c r="D67" s="49">
        <f>Output!E$5+(AM67*-0.3)+AH67</f>
        <v>0.27633429621332767</v>
      </c>
      <c r="E67" s="49">
        <f>Output!E$6+AI67</f>
        <v>0.15463651818310506</v>
      </c>
      <c r="F67" s="49">
        <f>Output!E$7+AJ67</f>
        <v>8.5034053699968165E-2</v>
      </c>
      <c r="H67" s="48">
        <f t="shared" si="3"/>
        <v>0.48904416324235928</v>
      </c>
      <c r="I67" s="48">
        <f t="shared" si="4"/>
        <v>0.27363040598317839</v>
      </c>
      <c r="J67" s="48">
        <f t="shared" si="5"/>
        <v>0.15312342271696425</v>
      </c>
      <c r="K67" s="48">
        <f t="shared" si="6"/>
        <v>8.4202008057498098E-2</v>
      </c>
      <c r="M67" s="50">
        <f t="shared" si="7"/>
        <v>0.20177438836140923</v>
      </c>
      <c r="N67" s="50">
        <f t="shared" si="8"/>
        <v>0.34164041666426959</v>
      </c>
      <c r="P67" s="49">
        <f t="shared" si="9"/>
        <v>0.53693035687948443</v>
      </c>
      <c r="Q67" s="49">
        <f t="shared" si="10"/>
        <v>0.35471036503799297</v>
      </c>
      <c r="S67" s="49">
        <f t="shared" si="11"/>
        <v>0.60218240787030597</v>
      </c>
      <c r="T67" s="49">
        <f t="shared" si="12"/>
        <v>0.39781759212969409</v>
      </c>
      <c r="V67" t="s">
        <v>135</v>
      </c>
      <c r="W67" s="51">
        <f t="shared" si="13"/>
        <v>0</v>
      </c>
      <c r="X67" s="51">
        <f>IF(V67="ALPSOPWIN",1,IF(V67="LNPSOPWIN",1,0))</f>
        <v>0</v>
      </c>
      <c r="Y67" s="51">
        <f>IF(V67="ALPSOPWIN",1,IF(V67="LNPSOPWIN",1,0))</f>
        <v>0</v>
      </c>
      <c r="Z67" s="51">
        <f t="shared" ref="Z67:Z91" si="26">IF(Y67=1,IF(AO67="SEQ",0,1),0)</f>
        <v>0</v>
      </c>
      <c r="AA67" s="53">
        <f t="shared" si="25"/>
        <v>0</v>
      </c>
      <c r="AB67" s="54">
        <f t="shared" si="15"/>
        <v>0.5966430820276093</v>
      </c>
      <c r="AC67" s="57">
        <f t="shared" si="16"/>
        <v>0.9980364423662581</v>
      </c>
      <c r="AE67" s="46"/>
      <c r="AF67" s="46"/>
      <c r="AG67">
        <v>0.6059029620978873</v>
      </c>
      <c r="AH67">
        <v>0.12435856601903952</v>
      </c>
      <c r="AI67">
        <v>0.15507661818310506</v>
      </c>
      <c r="AJ67">
        <f t="shared" si="17"/>
        <v>0.11466185369996817</v>
      </c>
      <c r="AL67">
        <v>0.10930296209788731</v>
      </c>
      <c r="AM67">
        <v>-0.14224143398096048</v>
      </c>
      <c r="AO67" t="s">
        <v>29</v>
      </c>
      <c r="AQ67">
        <v>28257</v>
      </c>
      <c r="AR67">
        <f t="shared" si="18"/>
        <v>15172.041094343591</v>
      </c>
      <c r="AS67">
        <f t="shared" si="19"/>
        <v>10023.050784878567</v>
      </c>
    </row>
    <row r="68" spans="1:45" x14ac:dyDescent="0.25">
      <c r="A68" s="13" t="s">
        <v>87</v>
      </c>
      <c r="B68" s="47" t="s">
        <v>0</v>
      </c>
      <c r="C68" s="48">
        <f>Output!E$4+(AL68*-0.3)+AG68</f>
        <v>0.38118394414888102</v>
      </c>
      <c r="D68" s="49">
        <f>Output!E$5+(AM68*-0.3)+AH68</f>
        <v>0.45168947108858837</v>
      </c>
      <c r="E68" s="49">
        <f>Output!E$6+AI68</f>
        <v>8.0399776854958666E-2</v>
      </c>
      <c r="F68" s="49">
        <f>Output!E$7+AJ68</f>
        <v>6.9753015662942425E-2</v>
      </c>
      <c r="H68" s="48">
        <f t="shared" ref="H68:H91" si="27">IF($F68&lt;0,C68/SUM($C68:$E68),C68/SUM($C68:$F68))</f>
        <v>0.38776580028244778</v>
      </c>
      <c r="I68" s="48">
        <f t="shared" ref="I68:I91" si="28">IF($F68&lt;0,D68/SUM($C68:$E68),D68/SUM($C68:$F68))</f>
        <v>0.45948873745692936</v>
      </c>
      <c r="J68" s="48">
        <f t="shared" ref="J68:J91" si="29">IF($F68&lt;0,E68/SUM($C68:$E68),E68/SUM($C68:$F68))</f>
        <v>8.1788029882277999E-2</v>
      </c>
      <c r="K68" s="48">
        <f t="shared" ref="K68:K91" si="30">IF($F68&lt;0,0,F68/SUM($C68:$F68))</f>
        <v>7.0957432378344787E-2</v>
      </c>
      <c r="M68" s="50">
        <f t="shared" ref="M68:M91" si="31">0.295+(($I68/($H68+$I68))*-0.089)+((J68/(J68+K68))*-0.095)</f>
        <v>0.19586488217501913</v>
      </c>
      <c r="N68" s="50">
        <f t="shared" ref="N68:N91" si="32">0.047+(($I68/($H68+$I68))*0.208)+((J68/(J68+K68))*0.341)</f>
        <v>0.34239345265968235</v>
      </c>
      <c r="P68" s="49">
        <f t="shared" ref="P68:P91" si="33">H68+(($J68+$K68)*M68)</f>
        <v>0.41768327225089352</v>
      </c>
      <c r="Q68" s="49">
        <f t="shared" ref="Q68:Q91" si="34">I68+(($J68+$K68)*N68)</f>
        <v>0.51178778365844324</v>
      </c>
      <c r="S68" s="49">
        <f t="shared" ref="S68:S91" si="35">P68/($P68+$Q68)</f>
        <v>0.44937738469140187</v>
      </c>
      <c r="T68" s="49">
        <f t="shared" ref="T68:T91" si="36">Q68/($P68+$Q68)</f>
        <v>0.55062261530859813</v>
      </c>
      <c r="V68" t="s">
        <v>143</v>
      </c>
      <c r="W68" s="51">
        <f t="shared" ref="W68:W90" si="37">IF(V68="ALPVAC",1,IF(V68="LNPVAC",1,0))</f>
        <v>0</v>
      </c>
      <c r="X68" s="51">
        <v>1</v>
      </c>
      <c r="Y68" s="51">
        <v>1</v>
      </c>
      <c r="Z68" s="51">
        <f t="shared" si="26"/>
        <v>0</v>
      </c>
      <c r="AA68" s="55">
        <v>4.0000000000000001E-3</v>
      </c>
      <c r="AB68" s="54">
        <f t="shared" ref="AB68:AB91" si="38">S68+AA68-AA$93</f>
        <v>0.44783805884870526</v>
      </c>
      <c r="AC68" s="57">
        <f t="shared" ref="AC68:AC91" si="39">(1-(NORMDIST(0.5,AB68,AE$1,1)))</f>
        <v>5.9784943001416013E-2</v>
      </c>
      <c r="AE68" s="46"/>
      <c r="AF68" s="46"/>
      <c r="AG68">
        <v>0.44491334878411565</v>
      </c>
      <c r="AH68">
        <v>0.37486595869798334</v>
      </c>
      <c r="AI68">
        <v>8.0839876854958664E-2</v>
      </c>
      <c r="AJ68">
        <f t="shared" ref="AJ68:AJ91" si="40">1-SUM(AG68:AI68)</f>
        <v>9.9380815662942434E-2</v>
      </c>
      <c r="AL68">
        <v>-5.1686651215884338E-2</v>
      </c>
      <c r="AM68">
        <v>0.10826595869798333</v>
      </c>
      <c r="AO68" t="s">
        <v>151</v>
      </c>
      <c r="AQ68">
        <v>28909</v>
      </c>
      <c r="AR68">
        <f t="shared" ref="AR68:AR91" si="41">P68*$AQ68</f>
        <v>12074.805717501082</v>
      </c>
      <c r="AS68">
        <f t="shared" ref="AS68:AS91" si="42">Q68*$AQ68</f>
        <v>14795.273037781935</v>
      </c>
    </row>
    <row r="69" spans="1:45" x14ac:dyDescent="0.25">
      <c r="A69" s="13" t="s">
        <v>127</v>
      </c>
      <c r="B69" s="47" t="s">
        <v>0</v>
      </c>
      <c r="C69" s="48">
        <f>Output!E$4+(AL69*-0.3)+AG69</f>
        <v>0.44027756085331787</v>
      </c>
      <c r="D69" s="49">
        <f>Output!E$5+(AM69*-0.3)+AH69</f>
        <v>0.38117823161121794</v>
      </c>
      <c r="E69" s="49">
        <f>Output!E$6+AI69</f>
        <v>8.3948391818742515E-2</v>
      </c>
      <c r="F69" s="49">
        <f>Output!E$7+AJ69</f>
        <v>8.2515290374777756E-2</v>
      </c>
      <c r="H69" s="48">
        <f t="shared" si="27"/>
        <v>0.44566138450272891</v>
      </c>
      <c r="I69" s="48">
        <f t="shared" si="28"/>
        <v>0.38583937394609352</v>
      </c>
      <c r="J69" s="48">
        <f t="shared" si="29"/>
        <v>8.4974933658230778E-2</v>
      </c>
      <c r="K69" s="48">
        <f t="shared" si="30"/>
        <v>8.3524307892946834E-2</v>
      </c>
      <c r="M69" s="50">
        <f t="shared" si="31"/>
        <v>0.20579260387615458</v>
      </c>
      <c r="N69" s="50">
        <f t="shared" si="32"/>
        <v>0.31548560944444171</v>
      </c>
      <c r="P69" s="49">
        <f t="shared" si="33"/>
        <v>0.48033728217270288</v>
      </c>
      <c r="Q69" s="49">
        <f t="shared" si="34"/>
        <v>0.43899845985779301</v>
      </c>
      <c r="S69" s="49">
        <f t="shared" si="35"/>
        <v>0.52248298441198782</v>
      </c>
      <c r="T69" s="49">
        <f t="shared" si="36"/>
        <v>0.47751701558801213</v>
      </c>
      <c r="V69" t="s">
        <v>143</v>
      </c>
      <c r="W69" s="51">
        <f t="shared" si="37"/>
        <v>0</v>
      </c>
      <c r="X69" s="51">
        <v>1</v>
      </c>
      <c r="Y69" s="51">
        <v>1</v>
      </c>
      <c r="Z69" s="51">
        <f t="shared" si="26"/>
        <v>0</v>
      </c>
      <c r="AA69" s="55">
        <v>4.0000000000000001E-3</v>
      </c>
      <c r="AB69" s="54">
        <f t="shared" si="38"/>
        <v>0.52094365856929115</v>
      </c>
      <c r="AC69" s="57">
        <f t="shared" si="39"/>
        <v>0.73401005217057447</v>
      </c>
      <c r="AE69" s="46"/>
      <c r="AF69" s="46"/>
      <c r="AG69">
        <v>0.52933280121902548</v>
      </c>
      <c r="AH69">
        <v>0.27413561658745422</v>
      </c>
      <c r="AI69">
        <v>8.4388491818742514E-2</v>
      </c>
      <c r="AJ69">
        <f t="shared" si="40"/>
        <v>0.11214309037477777</v>
      </c>
      <c r="AL69">
        <v>3.2732801219025498E-2</v>
      </c>
      <c r="AM69">
        <v>7.5356165874542191E-3</v>
      </c>
      <c r="AO69" t="s">
        <v>151</v>
      </c>
      <c r="AQ69">
        <v>27563</v>
      </c>
      <c r="AR69">
        <f t="shared" si="41"/>
        <v>13239.536508526209</v>
      </c>
      <c r="AS69">
        <f t="shared" si="42"/>
        <v>12100.114549060349</v>
      </c>
    </row>
    <row r="70" spans="1:45" x14ac:dyDescent="0.25">
      <c r="A70" s="13" t="s">
        <v>88</v>
      </c>
      <c r="B70" s="47" t="s">
        <v>0</v>
      </c>
      <c r="C70" s="48">
        <f>Output!E$4+(AL70*-0.3)+AG70</f>
        <v>0.44182098007872223</v>
      </c>
      <c r="D70" s="49">
        <f>Output!E$5+(AM70*-0.3)+AH70</f>
        <v>0.40230499740737125</v>
      </c>
      <c r="E70" s="49">
        <f>Output!E$6+AI70</f>
        <v>6.0065413808919686E-2</v>
      </c>
      <c r="F70" s="49">
        <f>Output!E$7+AJ70</f>
        <v>7.4012289782375368E-2</v>
      </c>
      <c r="H70" s="48">
        <f t="shared" si="27"/>
        <v>0.45166562815640077</v>
      </c>
      <c r="I70" s="48">
        <f t="shared" si="28"/>
        <v>0.411269150985278</v>
      </c>
      <c r="J70" s="48">
        <f t="shared" si="29"/>
        <v>6.1403790407703177E-2</v>
      </c>
      <c r="K70" s="48">
        <f t="shared" si="30"/>
        <v>7.5661430450618031E-2</v>
      </c>
      <c r="M70" s="50">
        <f t="shared" si="31"/>
        <v>0.21002416404861238</v>
      </c>
      <c r="N70" s="50">
        <f t="shared" si="32"/>
        <v>0.29889590467417382</v>
      </c>
      <c r="P70" s="49">
        <f t="shared" si="33"/>
        <v>0.48045263658730808</v>
      </c>
      <c r="Q70" s="49">
        <f t="shared" si="34"/>
        <v>0.45223738417309134</v>
      </c>
      <c r="S70" s="49">
        <f t="shared" si="35"/>
        <v>0.51512573941297968</v>
      </c>
      <c r="T70" s="49">
        <f t="shared" si="36"/>
        <v>0.48487426058702038</v>
      </c>
      <c r="V70" t="s">
        <v>146</v>
      </c>
      <c r="W70" s="51">
        <f t="shared" si="37"/>
        <v>0</v>
      </c>
      <c r="X70" s="51">
        <f t="shared" ref="X70:X79" si="43">IF(V70="ALPSOPWIN",1,IF(V70="LNPSOPWIN",1,0))</f>
        <v>1</v>
      </c>
      <c r="Y70" s="51">
        <f>IF(V70="ALPSOPWIN",1,IF(V70="LNPSOPWIN",1,0))</f>
        <v>1</v>
      </c>
      <c r="Z70" s="51">
        <f t="shared" si="26"/>
        <v>0</v>
      </c>
      <c r="AA70" s="53">
        <f t="shared" ref="AA70:AA79" si="44">IF(B70="LNP",(-0.01*W70)+(0.009*X70)+(0.005*Y70)+(0.008*Z70),IF(B70="ALP",0-((-0.01*W70)+(0.009*X70)+(0.005*Y70)+(0.008*Z70)),""))</f>
        <v>1.3999999999999999E-2</v>
      </c>
      <c r="AB70" s="54">
        <f t="shared" si="38"/>
        <v>0.52358641357028302</v>
      </c>
      <c r="AC70" s="57">
        <f t="shared" si="39"/>
        <v>0.75923685641053285</v>
      </c>
      <c r="AE70" s="46"/>
      <c r="AF70" s="46"/>
      <c r="AG70">
        <v>0.53153768582674599</v>
      </c>
      <c r="AH70">
        <v>0.30431671058195897</v>
      </c>
      <c r="AI70">
        <v>6.0505513808919685E-2</v>
      </c>
      <c r="AJ70">
        <f t="shared" si="40"/>
        <v>0.10364008978237538</v>
      </c>
      <c r="AL70">
        <v>3.4937685826746001E-2</v>
      </c>
      <c r="AM70">
        <v>3.7716710581958968E-2</v>
      </c>
      <c r="AO70" t="s">
        <v>151</v>
      </c>
      <c r="AQ70">
        <v>30741</v>
      </c>
      <c r="AR70">
        <f t="shared" si="41"/>
        <v>14769.594501330437</v>
      </c>
      <c r="AS70">
        <f t="shared" si="42"/>
        <v>13902.229426865</v>
      </c>
    </row>
    <row r="71" spans="1:45" x14ac:dyDescent="0.25">
      <c r="A71" s="13" t="s">
        <v>89</v>
      </c>
      <c r="B71" s="47" t="s">
        <v>1</v>
      </c>
      <c r="C71" s="48">
        <f>Output!E$4+(AL71*-0.3)+AG71</f>
        <v>0.41442327952417829</v>
      </c>
      <c r="D71" s="49">
        <f>Output!E$5+(AM71*-0.3)+AH71</f>
        <v>0.40457505758428947</v>
      </c>
      <c r="E71" s="49">
        <f>Output!E$6+AI71</f>
        <v>6.6850672154571689E-2</v>
      </c>
      <c r="F71" s="49">
        <f>Output!E$7+AJ71</f>
        <v>0.10312366054761732</v>
      </c>
      <c r="H71" s="48">
        <f t="shared" si="27"/>
        <v>0.41904421848535156</v>
      </c>
      <c r="I71" s="48">
        <f t="shared" si="28"/>
        <v>0.40908618603358088</v>
      </c>
      <c r="J71" s="48">
        <f t="shared" si="29"/>
        <v>6.7596076408633771E-2</v>
      </c>
      <c r="K71" s="48">
        <f t="shared" si="30"/>
        <v>0.10427351907243383</v>
      </c>
      <c r="M71" s="50">
        <f t="shared" si="31"/>
        <v>0.21367173000464257</v>
      </c>
      <c r="N71" s="50">
        <f t="shared" si="32"/>
        <v>0.28386426236054135</v>
      </c>
      <c r="P71" s="49">
        <f t="shared" si="33"/>
        <v>0.45576789228698938</v>
      </c>
      <c r="Q71" s="49">
        <f t="shared" si="34"/>
        <v>0.45787382197701876</v>
      </c>
      <c r="S71" s="49">
        <f t="shared" si="35"/>
        <v>0.49884750791412485</v>
      </c>
      <c r="T71" s="49">
        <f t="shared" si="36"/>
        <v>0.5011524920858752</v>
      </c>
      <c r="V71" t="s">
        <v>142</v>
      </c>
      <c r="W71" s="51">
        <f t="shared" si="37"/>
        <v>0</v>
      </c>
      <c r="X71" s="51">
        <f t="shared" si="43"/>
        <v>0</v>
      </c>
      <c r="Y71" s="51">
        <f>IF(V71="ALPSOPWIN",1,IF(V71="LNPSOPWIN",1,0))</f>
        <v>0</v>
      </c>
      <c r="Z71" s="51">
        <f t="shared" si="26"/>
        <v>0</v>
      </c>
      <c r="AA71" s="53">
        <f t="shared" si="44"/>
        <v>0</v>
      </c>
      <c r="AB71" s="54">
        <f t="shared" si="38"/>
        <v>0.49330818207142824</v>
      </c>
      <c r="AC71" s="57">
        <f t="shared" si="39"/>
        <v>0.4208604547456356</v>
      </c>
      <c r="AE71" s="46"/>
      <c r="AF71" s="46"/>
      <c r="AG71">
        <v>0.49239811360596891</v>
      </c>
      <c r="AH71">
        <v>0.30755965369184207</v>
      </c>
      <c r="AI71">
        <v>6.7290772154571687E-2</v>
      </c>
      <c r="AJ71">
        <f t="shared" si="40"/>
        <v>0.13275146054761733</v>
      </c>
      <c r="AL71">
        <v>-4.2018863940310736E-3</v>
      </c>
      <c r="AM71">
        <v>4.0959653691842068E-2</v>
      </c>
      <c r="AO71" t="s">
        <v>151</v>
      </c>
      <c r="AQ71">
        <v>28414</v>
      </c>
      <c r="AR71">
        <f t="shared" si="41"/>
        <v>12950.188891442516</v>
      </c>
      <c r="AS71">
        <f t="shared" si="42"/>
        <v>13010.026777655012</v>
      </c>
    </row>
    <row r="72" spans="1:45" x14ac:dyDescent="0.25">
      <c r="A72" s="13" t="s">
        <v>90</v>
      </c>
      <c r="B72" s="47" t="s">
        <v>0</v>
      </c>
      <c r="C72" s="48">
        <f>Output!E$4+(AL72*-0.3)+AG72</f>
        <v>0.53034697410602383</v>
      </c>
      <c r="D72" s="49">
        <f>Output!E$5+(AM72*-0.3)+AH72</f>
        <v>0.35763838368355083</v>
      </c>
      <c r="E72" s="49">
        <f>Output!E$6+AI72</f>
        <v>0.10104924601489346</v>
      </c>
      <c r="F72" s="49">
        <f>Output!E$7+AJ72</f>
        <v>-2.962780000000001E-2</v>
      </c>
      <c r="H72" s="48">
        <f t="shared" si="27"/>
        <v>0.53622691467615546</v>
      </c>
      <c r="I72" s="48">
        <f t="shared" si="28"/>
        <v>0.36160350943014713</v>
      </c>
      <c r="J72" s="48">
        <f t="shared" si="29"/>
        <v>0.10216957589369731</v>
      </c>
      <c r="K72" s="48">
        <f t="shared" si="30"/>
        <v>0</v>
      </c>
      <c r="M72" s="50">
        <f t="shared" si="31"/>
        <v>0.16415502139914931</v>
      </c>
      <c r="N72" s="50">
        <f t="shared" si="32"/>
        <v>0.4717725342581679</v>
      </c>
      <c r="P72" s="49">
        <f t="shared" si="33"/>
        <v>0.55299856359332733</v>
      </c>
      <c r="Q72" s="49">
        <f t="shared" si="34"/>
        <v>0.40980430917359895</v>
      </c>
      <c r="S72" s="49">
        <f t="shared" si="35"/>
        <v>0.57436322557296349</v>
      </c>
      <c r="T72" s="49">
        <f t="shared" si="36"/>
        <v>0.42563677442703657</v>
      </c>
      <c r="V72" t="s">
        <v>137</v>
      </c>
      <c r="W72" s="51">
        <f t="shared" si="37"/>
        <v>1</v>
      </c>
      <c r="X72" s="51">
        <f t="shared" si="43"/>
        <v>0</v>
      </c>
      <c r="Y72" s="51">
        <f>IF(V72="ALPSOPWIN",1,IF(V72="LNPSOPWIN",1,0))</f>
        <v>0</v>
      </c>
      <c r="Z72" s="51">
        <f t="shared" si="26"/>
        <v>0</v>
      </c>
      <c r="AA72" s="53">
        <f t="shared" si="44"/>
        <v>-0.01</v>
      </c>
      <c r="AB72" s="54">
        <f t="shared" si="38"/>
        <v>0.5588238997302668</v>
      </c>
      <c r="AC72" s="57">
        <f t="shared" si="39"/>
        <v>0.96040310346349733</v>
      </c>
      <c r="AE72" s="46"/>
      <c r="AF72" s="46"/>
      <c r="AG72">
        <v>0.65800339158003396</v>
      </c>
      <c r="AH72">
        <v>0.24050726240507261</v>
      </c>
      <c r="AI72">
        <v>0.10148934601489346</v>
      </c>
      <c r="AJ72">
        <f t="shared" si="40"/>
        <v>0</v>
      </c>
      <c r="AL72">
        <v>0.16140339158003397</v>
      </c>
      <c r="AM72">
        <v>-2.609273759492739E-2</v>
      </c>
      <c r="AO72" t="s">
        <v>151</v>
      </c>
      <c r="AQ72">
        <v>27126</v>
      </c>
      <c r="AR72">
        <f t="shared" si="41"/>
        <v>15000.639036032597</v>
      </c>
      <c r="AS72">
        <f t="shared" si="42"/>
        <v>11116.351690643045</v>
      </c>
    </row>
    <row r="73" spans="1:45" x14ac:dyDescent="0.25">
      <c r="A73" s="13" t="s">
        <v>91</v>
      </c>
      <c r="B73" s="47" t="s">
        <v>1</v>
      </c>
      <c r="C73" s="48">
        <f>Output!E$4+(AL73*-0.3)+AG73</f>
        <v>0.29203231879068425</v>
      </c>
      <c r="D73" s="49">
        <f>Output!E$5+(AM73*-0.3)+AH73</f>
        <v>0.46779480007232754</v>
      </c>
      <c r="E73" s="49">
        <f>Output!E$6+AI73</f>
        <v>3.4060116982496745E-2</v>
      </c>
      <c r="F73" s="49">
        <f>Output!E$7+AJ73</f>
        <v>0.22044452749891505</v>
      </c>
      <c r="H73" s="48">
        <f t="shared" si="27"/>
        <v>0.28790611646410863</v>
      </c>
      <c r="I73" s="48">
        <f t="shared" si="28"/>
        <v>0.46118520288660675</v>
      </c>
      <c r="J73" s="48">
        <f t="shared" si="29"/>
        <v>3.3578872528052139E-2</v>
      </c>
      <c r="K73" s="48">
        <f t="shared" si="30"/>
        <v>0.21732980812123256</v>
      </c>
      <c r="M73" s="50">
        <f t="shared" si="31"/>
        <v>0.22749254205961977</v>
      </c>
      <c r="N73" s="50">
        <f t="shared" si="32"/>
        <v>0.22069288936187559</v>
      </c>
      <c r="P73" s="49">
        <f t="shared" si="33"/>
        <v>0.34498597004983977</v>
      </c>
      <c r="Q73" s="49">
        <f t="shared" si="34"/>
        <v>0.51655896458507355</v>
      </c>
      <c r="S73" s="49">
        <f t="shared" si="35"/>
        <v>0.40042713523239548</v>
      </c>
      <c r="T73" s="49">
        <f t="shared" si="36"/>
        <v>0.59957286476760452</v>
      </c>
      <c r="V73" t="s">
        <v>144</v>
      </c>
      <c r="W73" s="51">
        <f t="shared" si="37"/>
        <v>0</v>
      </c>
      <c r="X73" s="51">
        <f t="shared" si="43"/>
        <v>0</v>
      </c>
      <c r="Y73" s="51">
        <v>1</v>
      </c>
      <c r="Z73" s="51">
        <f t="shared" si="26"/>
        <v>1</v>
      </c>
      <c r="AA73" s="53">
        <f t="shared" si="44"/>
        <v>-1.3000000000000001E-2</v>
      </c>
      <c r="AB73" s="54">
        <f t="shared" si="38"/>
        <v>0.38188780938969885</v>
      </c>
      <c r="AC73" s="57">
        <f t="shared" si="39"/>
        <v>2.1204186806733638E-4</v>
      </c>
      <c r="AE73" s="46"/>
      <c r="AF73" s="46"/>
      <c r="AG73">
        <v>0.31755388398669177</v>
      </c>
      <c r="AH73">
        <v>0.39787357153189645</v>
      </c>
      <c r="AI73">
        <v>3.4500216982496744E-2</v>
      </c>
      <c r="AJ73">
        <f t="shared" si="40"/>
        <v>0.25007232749891506</v>
      </c>
      <c r="AL73">
        <v>-0.17904611601330822</v>
      </c>
      <c r="AM73">
        <v>0.13127357153189645</v>
      </c>
      <c r="AO73" t="s">
        <v>29</v>
      </c>
      <c r="AQ73">
        <v>27652</v>
      </c>
      <c r="AR73">
        <f t="shared" si="41"/>
        <v>9539.5520438181702</v>
      </c>
      <c r="AS73">
        <f t="shared" si="42"/>
        <v>14283.888488706454</v>
      </c>
    </row>
    <row r="74" spans="1:45" x14ac:dyDescent="0.25">
      <c r="A74" s="13" t="s">
        <v>92</v>
      </c>
      <c r="B74" s="47" t="s">
        <v>0</v>
      </c>
      <c r="C74" s="48">
        <f>Output!E$4+(AL74*-0.3)+AG74</f>
        <v>0.37597244810126584</v>
      </c>
      <c r="D74" s="49">
        <f>Output!E$5+(AM74*-0.3)+AH74</f>
        <v>0.45277697088607594</v>
      </c>
      <c r="E74" s="49">
        <f>Output!E$6+AI74</f>
        <v>8.9360984990958403E-2</v>
      </c>
      <c r="F74" s="49">
        <f>Output!E$7+AJ74</f>
        <v>6.6683230741410443E-2</v>
      </c>
      <c r="H74" s="48">
        <f t="shared" si="27"/>
        <v>0.38177790234019349</v>
      </c>
      <c r="I74" s="48">
        <f t="shared" si="28"/>
        <v>0.45976837676752869</v>
      </c>
      <c r="J74" s="48">
        <f t="shared" si="29"/>
        <v>9.0740823092740744E-2</v>
      </c>
      <c r="K74" s="48">
        <f t="shared" si="30"/>
        <v>6.7712897799537111E-2</v>
      </c>
      <c r="M74" s="50">
        <f t="shared" si="31"/>
        <v>0.19197282450550412</v>
      </c>
      <c r="N74" s="50">
        <f t="shared" si="32"/>
        <v>0.35591682071202524</v>
      </c>
      <c r="P74" s="49">
        <f t="shared" si="33"/>
        <v>0.41219671069329089</v>
      </c>
      <c r="Q74" s="49">
        <f t="shared" si="34"/>
        <v>0.5161647213374988</v>
      </c>
      <c r="S74" s="49">
        <f t="shared" si="35"/>
        <v>0.44400456166259622</v>
      </c>
      <c r="T74" s="49">
        <f t="shared" si="36"/>
        <v>0.55599543833740372</v>
      </c>
      <c r="V74" t="s">
        <v>146</v>
      </c>
      <c r="W74" s="51">
        <f t="shared" si="37"/>
        <v>0</v>
      </c>
      <c r="X74" s="51">
        <f t="shared" si="43"/>
        <v>1</v>
      </c>
      <c r="Y74" s="51">
        <f t="shared" ref="Y74:Y79" si="45">IF(V74="ALPSOPWIN",1,IF(V74="LNPSOPWIN",1,0))</f>
        <v>1</v>
      </c>
      <c r="Z74" s="51">
        <f t="shared" si="26"/>
        <v>0</v>
      </c>
      <c r="AA74" s="53">
        <f t="shared" si="44"/>
        <v>1.3999999999999999E-2</v>
      </c>
      <c r="AB74" s="54">
        <f t="shared" si="38"/>
        <v>0.45246523581989961</v>
      </c>
      <c r="AC74" s="57">
        <f t="shared" si="39"/>
        <v>7.802236455889533E-2</v>
      </c>
      <c r="AE74" s="46"/>
      <c r="AF74" s="46"/>
      <c r="AG74">
        <v>0.43746835443037974</v>
      </c>
      <c r="AH74">
        <v>0.37641952983725135</v>
      </c>
      <c r="AI74">
        <v>8.9801084990958402E-2</v>
      </c>
      <c r="AJ74">
        <f t="shared" si="40"/>
        <v>9.6311030741410453E-2</v>
      </c>
      <c r="AL74">
        <v>-5.913164556962025E-2</v>
      </c>
      <c r="AM74">
        <v>0.10981952983725135</v>
      </c>
      <c r="AO74" t="s">
        <v>151</v>
      </c>
      <c r="AQ74">
        <v>27650</v>
      </c>
      <c r="AR74">
        <f t="shared" si="41"/>
        <v>11397.239050669494</v>
      </c>
      <c r="AS74">
        <f t="shared" si="42"/>
        <v>14271.954544981842</v>
      </c>
    </row>
    <row r="75" spans="1:45" x14ac:dyDescent="0.25">
      <c r="A75" s="13" t="s">
        <v>93</v>
      </c>
      <c r="B75" s="47" t="s">
        <v>1</v>
      </c>
      <c r="C75" s="48">
        <f>Output!E$4+(AL75*-0.3)+AG75</f>
        <v>0.33626108182378317</v>
      </c>
      <c r="D75" s="49">
        <f>Output!E$5+(AM75*-0.3)+AH75</f>
        <v>0.45925018231669745</v>
      </c>
      <c r="E75" s="49">
        <f>Output!E$6+AI75</f>
        <v>0.18024381866913125</v>
      </c>
      <c r="F75" s="49">
        <f>Output!E$7+AJ75</f>
        <v>2.3283475415896454E-2</v>
      </c>
      <c r="H75" s="48">
        <f t="shared" si="27"/>
        <v>0.33658468840386885</v>
      </c>
      <c r="I75" s="48">
        <f t="shared" si="28"/>
        <v>0.45969214955268323</v>
      </c>
      <c r="J75" s="48">
        <f t="shared" si="29"/>
        <v>0.18041727937836571</v>
      </c>
      <c r="K75" s="48">
        <f t="shared" si="30"/>
        <v>2.3305882665082062E-2</v>
      </c>
      <c r="M75" s="50">
        <f t="shared" si="31"/>
        <v>0.15948810692893081</v>
      </c>
      <c r="N75" s="50">
        <f t="shared" si="32"/>
        <v>0.46906847871346374</v>
      </c>
      <c r="P75" s="49">
        <f t="shared" si="33"/>
        <v>0.36907610985575412</v>
      </c>
      <c r="Q75" s="49">
        <f t="shared" si="34"/>
        <v>0.55525226325109978</v>
      </c>
      <c r="S75" s="49">
        <f t="shared" si="35"/>
        <v>0.39929111838817083</v>
      </c>
      <c r="T75" s="49">
        <f t="shared" si="36"/>
        <v>0.60070888161182923</v>
      </c>
      <c r="V75" t="s">
        <v>136</v>
      </c>
      <c r="W75" s="51">
        <f t="shared" si="37"/>
        <v>0</v>
      </c>
      <c r="X75" s="51">
        <f t="shared" si="43"/>
        <v>0</v>
      </c>
      <c r="Y75" s="51">
        <f t="shared" si="45"/>
        <v>0</v>
      </c>
      <c r="Z75" s="51">
        <f t="shared" si="26"/>
        <v>0</v>
      </c>
      <c r="AA75" s="53">
        <f t="shared" si="44"/>
        <v>0</v>
      </c>
      <c r="AB75" s="54">
        <f t="shared" si="38"/>
        <v>0.39375179254547421</v>
      </c>
      <c r="AC75" s="57">
        <f t="shared" si="39"/>
        <v>7.6065541846837004E-4</v>
      </c>
      <c r="AE75" s="46"/>
      <c r="AF75" s="46"/>
      <c r="AG75">
        <v>0.38073783117683302</v>
      </c>
      <c r="AH75">
        <v>0.38566697473813927</v>
      </c>
      <c r="AI75">
        <v>0.18068391866913125</v>
      </c>
      <c r="AJ75">
        <f t="shared" si="40"/>
        <v>5.2911275415896464E-2</v>
      </c>
      <c r="AL75">
        <v>-0.11586216882316697</v>
      </c>
      <c r="AM75">
        <v>0.11906697473813926</v>
      </c>
      <c r="AO75" t="s">
        <v>151</v>
      </c>
      <c r="AQ75">
        <v>25968</v>
      </c>
      <c r="AR75">
        <f t="shared" si="41"/>
        <v>9584.1684207342223</v>
      </c>
      <c r="AS75">
        <f t="shared" si="42"/>
        <v>14418.790772104559</v>
      </c>
    </row>
    <row r="76" spans="1:45" x14ac:dyDescent="0.25">
      <c r="A76" s="13" t="s">
        <v>94</v>
      </c>
      <c r="B76" s="47" t="s">
        <v>0</v>
      </c>
      <c r="C76" s="48">
        <f>Output!E$4+(AL76*-0.3)+AG76</f>
        <v>0.53608890703912127</v>
      </c>
      <c r="D76" s="49">
        <f>Output!E$5+(AM76*-0.3)+AH76</f>
        <v>0.28313712619537013</v>
      </c>
      <c r="E76" s="49">
        <f>Output!E$6+AI76</f>
        <v>3.8748497230178251E-2</v>
      </c>
      <c r="F76" s="49">
        <f>Output!E$7+AJ76</f>
        <v>0.13090055529197694</v>
      </c>
      <c r="H76" s="48">
        <f t="shared" si="27"/>
        <v>0.54211994493614735</v>
      </c>
      <c r="I76" s="48">
        <f t="shared" si="28"/>
        <v>0.28632243877266383</v>
      </c>
      <c r="J76" s="48">
        <f t="shared" si="29"/>
        <v>3.9184420548455313E-2</v>
      </c>
      <c r="K76" s="48">
        <f t="shared" si="30"/>
        <v>0.13237319574273348</v>
      </c>
      <c r="M76" s="50">
        <f t="shared" si="31"/>
        <v>0.2425418641356259</v>
      </c>
      <c r="N76" s="50">
        <f t="shared" si="32"/>
        <v>0.19677371525537851</v>
      </c>
      <c r="P76" s="49">
        <f t="shared" si="33"/>
        <v>0.58372984899807667</v>
      </c>
      <c r="Q76" s="49">
        <f t="shared" si="34"/>
        <v>0.32008046831063769</v>
      </c>
      <c r="S76" s="49">
        <f t="shared" si="35"/>
        <v>0.64585437654247546</v>
      </c>
      <c r="T76" s="49">
        <f t="shared" si="36"/>
        <v>0.35414562345752448</v>
      </c>
      <c r="V76" t="s">
        <v>135</v>
      </c>
      <c r="W76" s="51">
        <f t="shared" si="37"/>
        <v>0</v>
      </c>
      <c r="X76" s="51">
        <f t="shared" si="43"/>
        <v>0</v>
      </c>
      <c r="Y76" s="51">
        <f t="shared" si="45"/>
        <v>0</v>
      </c>
      <c r="Z76" s="51">
        <f t="shared" si="26"/>
        <v>0</v>
      </c>
      <c r="AA76" s="53">
        <f t="shared" si="44"/>
        <v>0</v>
      </c>
      <c r="AB76" s="54">
        <f t="shared" si="38"/>
        <v>0.64031505069977879</v>
      </c>
      <c r="AC76" s="57">
        <f t="shared" si="39"/>
        <v>0.99998587835126918</v>
      </c>
      <c r="AE76" s="46"/>
      <c r="AF76" s="46"/>
      <c r="AG76">
        <v>0.66620615291303031</v>
      </c>
      <c r="AH76">
        <v>0.1340768945648145</v>
      </c>
      <c r="AI76">
        <v>3.918859723017825E-2</v>
      </c>
      <c r="AJ76">
        <f t="shared" si="40"/>
        <v>0.16052835529197695</v>
      </c>
      <c r="AL76">
        <v>0.16960615291303033</v>
      </c>
      <c r="AM76">
        <v>-0.1325231054351855</v>
      </c>
      <c r="AO76" t="s">
        <v>29</v>
      </c>
      <c r="AQ76">
        <v>29677</v>
      </c>
      <c r="AR76">
        <f t="shared" si="41"/>
        <v>17323.350728715923</v>
      </c>
      <c r="AS76">
        <f t="shared" si="42"/>
        <v>9499.0280580547951</v>
      </c>
    </row>
    <row r="77" spans="1:45" x14ac:dyDescent="0.25">
      <c r="A77" s="13" t="s">
        <v>95</v>
      </c>
      <c r="B77" s="47" t="s">
        <v>0</v>
      </c>
      <c r="C77" s="48">
        <f>Output!E$4+(AL77*-0.3)+AG77</f>
        <v>0.46061687180679517</v>
      </c>
      <c r="D77" s="49">
        <f>Output!E$5+(AM77*-0.3)+AH77</f>
        <v>0.38826327449936249</v>
      </c>
      <c r="E77" s="49">
        <f>Output!E$6+AI77</f>
        <v>6.6461572541813549E-2</v>
      </c>
      <c r="F77" s="49">
        <f>Output!E$7+AJ77</f>
        <v>6.0824461306532712E-2</v>
      </c>
      <c r="H77" s="48">
        <f t="shared" si="27"/>
        <v>0.47186317368000852</v>
      </c>
      <c r="I77" s="48">
        <f t="shared" si="28"/>
        <v>0.39774300973826976</v>
      </c>
      <c r="J77" s="48">
        <f t="shared" si="29"/>
        <v>6.8084281030197397E-2</v>
      </c>
      <c r="K77" s="48">
        <f t="shared" si="30"/>
        <v>6.230953555152427E-2</v>
      </c>
      <c r="M77" s="50">
        <f t="shared" si="31"/>
        <v>0.20468929019659865</v>
      </c>
      <c r="N77" s="50">
        <f t="shared" si="32"/>
        <v>0.32018657233987613</v>
      </c>
      <c r="P77" s="49">
        <f t="shared" si="33"/>
        <v>0.49855339144214661</v>
      </c>
      <c r="Q77" s="49">
        <f t="shared" si="34"/>
        <v>0.43949335892388575</v>
      </c>
      <c r="S77" s="49">
        <f t="shared" si="35"/>
        <v>0.53148032467209938</v>
      </c>
      <c r="T77" s="49">
        <f t="shared" si="36"/>
        <v>0.46851967532790062</v>
      </c>
      <c r="V77" t="s">
        <v>146</v>
      </c>
      <c r="W77" s="51">
        <f t="shared" si="37"/>
        <v>0</v>
      </c>
      <c r="X77" s="51">
        <f t="shared" si="43"/>
        <v>1</v>
      </c>
      <c r="Y77" s="51">
        <f t="shared" si="45"/>
        <v>1</v>
      </c>
      <c r="Z77" s="51">
        <f t="shared" si="26"/>
        <v>0</v>
      </c>
      <c r="AA77" s="53">
        <f t="shared" si="44"/>
        <v>1.3999999999999999E-2</v>
      </c>
      <c r="AB77" s="54">
        <f t="shared" si="38"/>
        <v>0.53994099882940272</v>
      </c>
      <c r="AC77" s="57">
        <f t="shared" si="39"/>
        <v>0.88334827113613135</v>
      </c>
      <c r="AE77" s="46"/>
      <c r="AF77" s="46"/>
      <c r="AG77">
        <v>0.55838895972399305</v>
      </c>
      <c r="AH77">
        <v>0.28425710642766067</v>
      </c>
      <c r="AI77">
        <v>6.6901672541813548E-2</v>
      </c>
      <c r="AJ77">
        <f t="shared" si="40"/>
        <v>9.0452261306532722E-2</v>
      </c>
      <c r="AL77">
        <v>6.1788959723993064E-2</v>
      </c>
      <c r="AM77">
        <v>1.7657106427660663E-2</v>
      </c>
      <c r="AO77" t="s">
        <v>151</v>
      </c>
      <c r="AQ77">
        <v>26666</v>
      </c>
      <c r="AR77">
        <f t="shared" si="41"/>
        <v>13294.424736196281</v>
      </c>
      <c r="AS77">
        <f t="shared" si="42"/>
        <v>11719.529909064337</v>
      </c>
    </row>
    <row r="78" spans="1:45" x14ac:dyDescent="0.25">
      <c r="A78" s="13" t="s">
        <v>96</v>
      </c>
      <c r="B78" s="47" t="s">
        <v>0</v>
      </c>
      <c r="C78" s="48">
        <f>Output!E$4+(AL78*-0.3)+AG78</f>
        <v>0.4594103702650788</v>
      </c>
      <c r="D78" s="49">
        <f>Output!E$5+(AM78*-0.3)+AH78</f>
        <v>0.38525298532811791</v>
      </c>
      <c r="E78" s="49">
        <f>Output!E$6+AI78</f>
        <v>6.626614803548353E-2</v>
      </c>
      <c r="F78" s="49">
        <f>Output!E$7+AJ78</f>
        <v>6.7043872545664102E-2</v>
      </c>
      <c r="H78" s="48">
        <f t="shared" si="27"/>
        <v>0.46975754295296812</v>
      </c>
      <c r="I78" s="48">
        <f t="shared" si="28"/>
        <v>0.39392993174840629</v>
      </c>
      <c r="J78" s="48">
        <f t="shared" si="29"/>
        <v>6.7758642157217774E-2</v>
      </c>
      <c r="K78" s="48">
        <f t="shared" si="30"/>
        <v>6.8553883141407854E-2</v>
      </c>
      <c r="M78" s="50">
        <f t="shared" si="31"/>
        <v>0.20718399903486157</v>
      </c>
      <c r="N78" s="50">
        <f t="shared" si="32"/>
        <v>0.31137461047186443</v>
      </c>
      <c r="P78" s="49">
        <f t="shared" si="33"/>
        <v>0.49799931706287814</v>
      </c>
      <c r="Q78" s="49">
        <f t="shared" si="34"/>
        <v>0.43637419121570203</v>
      </c>
      <c r="S78" s="49">
        <f t="shared" si="35"/>
        <v>0.53297670861875657</v>
      </c>
      <c r="T78" s="49">
        <f t="shared" si="36"/>
        <v>0.46702329138124343</v>
      </c>
      <c r="V78" t="s">
        <v>146</v>
      </c>
      <c r="W78" s="51">
        <f t="shared" si="37"/>
        <v>0</v>
      </c>
      <c r="X78" s="51">
        <f t="shared" si="43"/>
        <v>1</v>
      </c>
      <c r="Y78" s="51">
        <f t="shared" si="45"/>
        <v>1</v>
      </c>
      <c r="Z78" s="51">
        <f t="shared" si="26"/>
        <v>0</v>
      </c>
      <c r="AA78" s="53">
        <f t="shared" si="44"/>
        <v>1.3999999999999999E-2</v>
      </c>
      <c r="AB78" s="54">
        <f t="shared" si="38"/>
        <v>0.54143738277605991</v>
      </c>
      <c r="AC78" s="57">
        <f t="shared" si="39"/>
        <v>0.89187224114109154</v>
      </c>
      <c r="AE78" s="46"/>
      <c r="AF78" s="46"/>
      <c r="AG78">
        <v>0.55666538609296967</v>
      </c>
      <c r="AH78">
        <v>0.27995669332588274</v>
      </c>
      <c r="AI78">
        <v>6.6706248035483529E-2</v>
      </c>
      <c r="AJ78">
        <f t="shared" si="40"/>
        <v>9.6671672545664111E-2</v>
      </c>
      <c r="AL78">
        <v>6.0065386092969686E-2</v>
      </c>
      <c r="AM78">
        <v>1.335669332588274E-2</v>
      </c>
      <c r="AO78" t="s">
        <v>151</v>
      </c>
      <c r="AQ78">
        <v>28633</v>
      </c>
      <c r="AR78">
        <f t="shared" si="41"/>
        <v>14259.21444546139</v>
      </c>
      <c r="AS78">
        <f t="shared" si="42"/>
        <v>12494.702217079197</v>
      </c>
    </row>
    <row r="79" spans="1:45" x14ac:dyDescent="0.25">
      <c r="A79" s="13" t="s">
        <v>97</v>
      </c>
      <c r="B79" s="47" t="s">
        <v>1</v>
      </c>
      <c r="C79" s="48">
        <f>Output!E$4+(AL79*-0.3)+AG79</f>
        <v>0.42136872993039443</v>
      </c>
      <c r="D79" s="49">
        <f>Output!E$5+(AM79*-0.3)+AH79</f>
        <v>0.4243106183144974</v>
      </c>
      <c r="E79" s="49">
        <f>Output!E$6+AI79</f>
        <v>0.11257539285233141</v>
      </c>
      <c r="F79" s="49">
        <f>Output!E$7+AJ79</f>
        <v>1.9283209654965966E-2</v>
      </c>
      <c r="H79" s="48">
        <f t="shared" si="27"/>
        <v>0.43105101915088051</v>
      </c>
      <c r="I79" s="48">
        <f t="shared" si="28"/>
        <v>0.43406050679464847</v>
      </c>
      <c r="J79" s="48">
        <f t="shared" si="29"/>
        <v>0.11516217121361647</v>
      </c>
      <c r="K79" s="48">
        <f t="shared" si="30"/>
        <v>1.9726302840854467E-2</v>
      </c>
      <c r="M79" s="50">
        <f t="shared" si="31"/>
        <v>0.16923814619311234</v>
      </c>
      <c r="N79" s="50">
        <f t="shared" si="32"/>
        <v>0.44249341076869486</v>
      </c>
      <c r="P79" s="49">
        <f t="shared" si="33"/>
        <v>0.45387929444267688</v>
      </c>
      <c r="Q79" s="49">
        <f t="shared" si="34"/>
        <v>0.49374776775239593</v>
      </c>
      <c r="S79" s="49">
        <f t="shared" si="35"/>
        <v>0.47896404878024051</v>
      </c>
      <c r="T79" s="49">
        <f t="shared" si="36"/>
        <v>0.52103595121975943</v>
      </c>
      <c r="V79" t="s">
        <v>142</v>
      </c>
      <c r="W79" s="51">
        <f t="shared" si="37"/>
        <v>0</v>
      </c>
      <c r="X79" s="51">
        <f t="shared" si="43"/>
        <v>0</v>
      </c>
      <c r="Y79" s="51">
        <f t="shared" si="45"/>
        <v>0</v>
      </c>
      <c r="Z79" s="51">
        <f t="shared" si="26"/>
        <v>0</v>
      </c>
      <c r="AA79" s="53">
        <f t="shared" si="44"/>
        <v>0</v>
      </c>
      <c r="AB79" s="54">
        <f t="shared" si="38"/>
        <v>0.4734247229375439</v>
      </c>
      <c r="AC79" s="57">
        <f t="shared" si="39"/>
        <v>0.21387682336086333</v>
      </c>
      <c r="AE79" s="46"/>
      <c r="AF79" s="46"/>
      <c r="AG79">
        <v>0.50232018561484915</v>
      </c>
      <c r="AH79">
        <v>0.33575331187785346</v>
      </c>
      <c r="AI79">
        <v>0.11301549285233141</v>
      </c>
      <c r="AJ79">
        <f t="shared" si="40"/>
        <v>4.8911009654965976E-2</v>
      </c>
      <c r="AL79">
        <v>5.7201856148491603E-3</v>
      </c>
      <c r="AM79">
        <v>6.9153311877853452E-2</v>
      </c>
      <c r="AO79" t="s">
        <v>151</v>
      </c>
      <c r="AQ79">
        <v>26722</v>
      </c>
      <c r="AR79">
        <f t="shared" si="41"/>
        <v>12128.562506097212</v>
      </c>
      <c r="AS79">
        <f t="shared" si="42"/>
        <v>13193.927849879525</v>
      </c>
    </row>
    <row r="80" spans="1:45" x14ac:dyDescent="0.25">
      <c r="A80" s="13" t="s">
        <v>98</v>
      </c>
      <c r="B80" s="47" t="s">
        <v>0</v>
      </c>
      <c r="C80" s="48">
        <f>Output!E$4+(AL80*-0.3)+AG80</f>
        <v>0.39769616407669023</v>
      </c>
      <c r="D80" s="49">
        <f>Output!E$5+(AM80*-0.3)+AH80</f>
        <v>0.39029238173562059</v>
      </c>
      <c r="E80" s="49">
        <f>Output!E$6+AI80</f>
        <v>5.4374661424246795E-2</v>
      </c>
      <c r="F80" s="49">
        <f>Output!E$7+AJ80</f>
        <v>0.15989937312959498</v>
      </c>
      <c r="H80" s="48">
        <f t="shared" si="27"/>
        <v>0.39679837586214328</v>
      </c>
      <c r="I80" s="48">
        <f t="shared" si="28"/>
        <v>0.38941130735723628</v>
      </c>
      <c r="J80" s="48">
        <f t="shared" si="29"/>
        <v>5.4251912113073515E-2</v>
      </c>
      <c r="K80" s="48">
        <f t="shared" si="30"/>
        <v>0.15953840466754687</v>
      </c>
      <c r="M80" s="50">
        <f t="shared" si="31"/>
        <v>0.2268106991925925</v>
      </c>
      <c r="N80" s="50">
        <f t="shared" si="32"/>
        <v>0.23655576458405492</v>
      </c>
      <c r="P80" s="49">
        <f t="shared" si="33"/>
        <v>0.44528830709176165</v>
      </c>
      <c r="Q80" s="49">
        <f t="shared" si="34"/>
        <v>0.43998463920394326</v>
      </c>
      <c r="S80" s="49">
        <f t="shared" si="35"/>
        <v>0.50299549868207927</v>
      </c>
      <c r="T80" s="49">
        <f t="shared" si="36"/>
        <v>0.49700450131792073</v>
      </c>
      <c r="V80" t="s">
        <v>143</v>
      </c>
      <c r="W80" s="51">
        <f t="shared" si="37"/>
        <v>0</v>
      </c>
      <c r="X80" s="51">
        <v>1</v>
      </c>
      <c r="Y80" s="51">
        <v>1</v>
      </c>
      <c r="Z80" s="51">
        <f t="shared" si="26"/>
        <v>0</v>
      </c>
      <c r="AA80" s="55">
        <v>4.0000000000000001E-3</v>
      </c>
      <c r="AB80" s="54">
        <f t="shared" si="38"/>
        <v>0.5014561728393826</v>
      </c>
      <c r="AC80" s="57">
        <f t="shared" si="39"/>
        <v>0.5173302346802432</v>
      </c>
      <c r="AE80" s="46"/>
      <c r="AF80" s="46"/>
      <c r="AG80">
        <v>0.46850223439527172</v>
      </c>
      <c r="AH80">
        <v>0.28715583105088655</v>
      </c>
      <c r="AI80">
        <v>5.4814761424246794E-2</v>
      </c>
      <c r="AJ80">
        <f t="shared" si="40"/>
        <v>0.18952717312959499</v>
      </c>
      <c r="AL80">
        <v>-2.8097765604728264E-2</v>
      </c>
      <c r="AM80">
        <v>2.0555831050886542E-2</v>
      </c>
      <c r="AO80" t="s">
        <v>151</v>
      </c>
      <c r="AQ80">
        <v>27748</v>
      </c>
      <c r="AR80">
        <f t="shared" si="41"/>
        <v>12355.859945182203</v>
      </c>
      <c r="AS80">
        <f t="shared" si="42"/>
        <v>12208.693768631018</v>
      </c>
    </row>
    <row r="81" spans="1:45" x14ac:dyDescent="0.25">
      <c r="A81" s="13" t="s">
        <v>99</v>
      </c>
      <c r="B81" s="47" t="s">
        <v>0</v>
      </c>
      <c r="C81" s="48">
        <f>Output!E$4+(AL81*-0.3)+AG81</f>
        <v>0.43862607170690066</v>
      </c>
      <c r="D81" s="49">
        <f>Output!E$5+(AM81*-0.3)+AH81</f>
        <v>0.41841471349064657</v>
      </c>
      <c r="E81" s="49">
        <f>Output!E$6+AI81</f>
        <v>9.5150989032057751E-2</v>
      </c>
      <c r="F81" s="49">
        <f>Output!E$7+AJ81</f>
        <v>2.0476989257160655E-2</v>
      </c>
      <c r="H81" s="48">
        <f t="shared" si="27"/>
        <v>0.45095112351972705</v>
      </c>
      <c r="I81" s="48">
        <f t="shared" si="28"/>
        <v>0.43017184184134605</v>
      </c>
      <c r="J81" s="48">
        <f t="shared" si="29"/>
        <v>9.7824657893778852E-2</v>
      </c>
      <c r="K81" s="48">
        <f t="shared" si="30"/>
        <v>2.105237674514801E-2</v>
      </c>
      <c r="M81" s="50">
        <f t="shared" si="31"/>
        <v>0.17337333508411135</v>
      </c>
      <c r="N81" s="50">
        <f t="shared" si="32"/>
        <v>0.42915843663590203</v>
      </c>
      <c r="P81" s="49">
        <f t="shared" si="33"/>
        <v>0.47156123147998724</v>
      </c>
      <c r="Q81" s="49">
        <f t="shared" si="34"/>
        <v>0.48118892417889986</v>
      </c>
      <c r="S81" s="49">
        <f t="shared" si="35"/>
        <v>0.49494742003361075</v>
      </c>
      <c r="T81" s="49">
        <f t="shared" si="36"/>
        <v>0.50505257996638919</v>
      </c>
      <c r="V81" t="s">
        <v>143</v>
      </c>
      <c r="W81" s="51">
        <f t="shared" si="37"/>
        <v>0</v>
      </c>
      <c r="X81" s="51">
        <v>1</v>
      </c>
      <c r="Y81" s="51">
        <v>1</v>
      </c>
      <c r="Z81" s="51">
        <f t="shared" si="26"/>
        <v>0</v>
      </c>
      <c r="AA81" s="55">
        <v>4.0000000000000001E-3</v>
      </c>
      <c r="AB81" s="54">
        <f t="shared" si="38"/>
        <v>0.49340809419091414</v>
      </c>
      <c r="AC81" s="57">
        <f t="shared" si="39"/>
        <v>0.42202676952381069</v>
      </c>
      <c r="AE81" s="46"/>
      <c r="AF81" s="46"/>
      <c r="AG81">
        <v>0.526973531009858</v>
      </c>
      <c r="AH81">
        <v>0.32733059070092368</v>
      </c>
      <c r="AI81">
        <v>9.5591089032057749E-2</v>
      </c>
      <c r="AJ81">
        <f t="shared" si="40"/>
        <v>5.0104789257160665E-2</v>
      </c>
      <c r="AL81">
        <v>3.0373531009858012E-2</v>
      </c>
      <c r="AM81">
        <v>6.0730590700923681E-2</v>
      </c>
      <c r="AO81" t="s">
        <v>151</v>
      </c>
      <c r="AQ81">
        <v>25766</v>
      </c>
      <c r="AR81">
        <f t="shared" si="41"/>
        <v>12150.246690313352</v>
      </c>
      <c r="AS81">
        <f t="shared" si="42"/>
        <v>12398.313820393534</v>
      </c>
    </row>
    <row r="82" spans="1:45" x14ac:dyDescent="0.25">
      <c r="A82" s="13" t="s">
        <v>100</v>
      </c>
      <c r="B82" s="47" t="s">
        <v>0</v>
      </c>
      <c r="C82" s="48">
        <f>Output!E$4+(AL82*-0.3)+AG82</f>
        <v>0.57816142600382414</v>
      </c>
      <c r="D82" s="49">
        <f>Output!E$5+(AM82*-0.3)+AH82</f>
        <v>0.30505767858508603</v>
      </c>
      <c r="E82" s="49">
        <f>Output!E$6+AI82</f>
        <v>7.0726247992351818E-2</v>
      </c>
      <c r="F82" s="49">
        <f>Output!E$7+AJ82</f>
        <v>7.5041311663480437E-3</v>
      </c>
      <c r="H82" s="48">
        <f t="shared" si="27"/>
        <v>0.60134352951152781</v>
      </c>
      <c r="I82" s="48">
        <f t="shared" si="28"/>
        <v>0.3172893467018249</v>
      </c>
      <c r="J82" s="48">
        <f t="shared" si="29"/>
        <v>7.3562105121394133E-2</v>
      </c>
      <c r="K82" s="48">
        <f t="shared" si="30"/>
        <v>7.80501866525309E-3</v>
      </c>
      <c r="M82" s="50">
        <f t="shared" si="31"/>
        <v>0.17837275653473367</v>
      </c>
      <c r="N82" s="50">
        <f t="shared" si="32"/>
        <v>0.42713182900777014</v>
      </c>
      <c r="P82" s="49">
        <f t="shared" si="33"/>
        <v>0.61585720767265495</v>
      </c>
      <c r="Q82" s="49">
        <f t="shared" si="34"/>
        <v>0.35204383510591719</v>
      </c>
      <c r="S82" s="49">
        <f t="shared" si="35"/>
        <v>0.63628116972030713</v>
      </c>
      <c r="T82" s="49">
        <f t="shared" si="36"/>
        <v>0.36371883027969282</v>
      </c>
      <c r="V82" t="s">
        <v>135</v>
      </c>
      <c r="W82" s="51">
        <f t="shared" si="37"/>
        <v>0</v>
      </c>
      <c r="X82" s="51">
        <f t="shared" ref="X82:X91" si="46">IF(V82="ALPSOPWIN",1,IF(V82="LNPSOPWIN",1,0))</f>
        <v>0</v>
      </c>
      <c r="Y82" s="51">
        <f>IF(V82="ALPSOPWIN",1,IF(V82="LNPSOPWIN",1,0))</f>
        <v>0</v>
      </c>
      <c r="Z82" s="51">
        <f t="shared" si="26"/>
        <v>0</v>
      </c>
      <c r="AA82" s="53">
        <f t="shared" ref="AA82:AA91" si="47">IF(B82="LNP",(-0.01*W82)+(0.009*X82)+(0.005*Y82)+(0.008*Z82),IF(B82="ALP",0-((-0.01*W82)+(0.009*X82)+(0.005*Y82)+(0.008*Z82)),""))</f>
        <v>0</v>
      </c>
      <c r="AB82" s="54">
        <f t="shared" si="38"/>
        <v>0.63074184387761045</v>
      </c>
      <c r="AC82" s="57">
        <f t="shared" si="39"/>
        <v>0.99995220273099539</v>
      </c>
      <c r="AE82" s="46"/>
      <c r="AF82" s="46"/>
      <c r="AG82">
        <v>0.72630975143403442</v>
      </c>
      <c r="AH82">
        <v>0.16539196940726578</v>
      </c>
      <c r="AI82">
        <v>7.1166347992351817E-2</v>
      </c>
      <c r="AJ82">
        <f t="shared" si="40"/>
        <v>3.7131931166348053E-2</v>
      </c>
      <c r="AL82">
        <v>0.22970975143403444</v>
      </c>
      <c r="AM82">
        <v>-0.10120803059273423</v>
      </c>
      <c r="AO82" t="s">
        <v>151</v>
      </c>
      <c r="AQ82">
        <v>26150</v>
      </c>
      <c r="AR82">
        <f t="shared" si="41"/>
        <v>16104.665980639928</v>
      </c>
      <c r="AS82">
        <f t="shared" si="42"/>
        <v>9205.9462880197352</v>
      </c>
    </row>
    <row r="83" spans="1:45" x14ac:dyDescent="0.25">
      <c r="A83" s="13" t="s">
        <v>101</v>
      </c>
      <c r="B83" s="47" t="s">
        <v>0</v>
      </c>
      <c r="C83" s="48">
        <f>Output!E$4+(AL83*-0.3)+AG83</f>
        <v>0.32270738608427324</v>
      </c>
      <c r="D83" s="49">
        <f>Output!E$5+(AM83*-0.3)+AH83</f>
        <v>0.38081189924323133</v>
      </c>
      <c r="E83" s="49">
        <f>Output!E$6+AI83</f>
        <v>3.5781934458689983E-2</v>
      </c>
      <c r="F83" s="49">
        <f>Output!E$7+AJ83</f>
        <v>0.29916247221630354</v>
      </c>
      <c r="H83" s="48">
        <f t="shared" si="27"/>
        <v>0.31075461623697959</v>
      </c>
      <c r="I83" s="48">
        <f t="shared" si="28"/>
        <v>0.36670699435711734</v>
      </c>
      <c r="J83" s="48">
        <f t="shared" si="29"/>
        <v>3.4456606171459583E-2</v>
      </c>
      <c r="K83" s="48">
        <f t="shared" si="30"/>
        <v>0.2880817832344435</v>
      </c>
      <c r="M83" s="50">
        <f t="shared" si="31"/>
        <v>0.23667589095641425</v>
      </c>
      <c r="N83" s="50">
        <f t="shared" si="32"/>
        <v>0.19601833675232502</v>
      </c>
      <c r="P83" s="49">
        <f t="shared" si="33"/>
        <v>0.38709167691726859</v>
      </c>
      <c r="Q83" s="49">
        <f t="shared" si="34"/>
        <v>0.42993043298723621</v>
      </c>
      <c r="S83" s="49">
        <f t="shared" si="35"/>
        <v>0.47378360049829332</v>
      </c>
      <c r="T83" s="49">
        <f t="shared" si="36"/>
        <v>0.52621639950170673</v>
      </c>
      <c r="V83" t="s">
        <v>146</v>
      </c>
      <c r="W83" s="51">
        <f t="shared" si="37"/>
        <v>0</v>
      </c>
      <c r="X83" s="51">
        <f t="shared" si="46"/>
        <v>1</v>
      </c>
      <c r="Y83" s="51">
        <f>IF(V83="ALPSOPWIN",1,IF(V83="LNPSOPWIN",1,0))</f>
        <v>1</v>
      </c>
      <c r="Z83" s="51">
        <f t="shared" si="26"/>
        <v>1</v>
      </c>
      <c r="AA83" s="53">
        <f t="shared" si="47"/>
        <v>2.1999999999999999E-2</v>
      </c>
      <c r="AB83" s="54">
        <f t="shared" si="38"/>
        <v>0.49024427465559672</v>
      </c>
      <c r="AC83" s="57">
        <f t="shared" si="39"/>
        <v>0.38547832802926518</v>
      </c>
      <c r="AE83" s="46"/>
      <c r="AF83" s="46"/>
      <c r="AG83">
        <v>0.36137540869181883</v>
      </c>
      <c r="AH83">
        <v>0.2736122846331876</v>
      </c>
      <c r="AI83">
        <v>3.6222034458689982E-2</v>
      </c>
      <c r="AJ83">
        <f t="shared" si="40"/>
        <v>0.32879027221630353</v>
      </c>
      <c r="AL83">
        <v>-0.13522459130818115</v>
      </c>
      <c r="AM83">
        <v>7.0122846331875932E-3</v>
      </c>
      <c r="AO83" t="s">
        <v>29</v>
      </c>
      <c r="AQ83">
        <v>27221</v>
      </c>
      <c r="AR83">
        <f t="shared" si="41"/>
        <v>10537.022537364968</v>
      </c>
      <c r="AS83">
        <f t="shared" si="42"/>
        <v>11703.136316345557</v>
      </c>
    </row>
    <row r="84" spans="1:45" x14ac:dyDescent="0.25">
      <c r="A84" s="13" t="s">
        <v>102</v>
      </c>
      <c r="B84" s="47" t="s">
        <v>0</v>
      </c>
      <c r="C84" s="48">
        <f>Output!E$4+(AL84*-0.3)+AG84</f>
        <v>0.41801470419449643</v>
      </c>
      <c r="D84" s="49">
        <f>Output!E$5+(AM84*-0.3)+AH84</f>
        <v>0.41526847232166708</v>
      </c>
      <c r="E84" s="49">
        <f>Output!E$6+AI84</f>
        <v>4.835097667646273E-2</v>
      </c>
      <c r="F84" s="49">
        <f>Output!E$7+AJ84</f>
        <v>0.10121644258616078</v>
      </c>
      <c r="H84" s="48">
        <f t="shared" si="27"/>
        <v>0.4253084914327917</v>
      </c>
      <c r="I84" s="48">
        <f t="shared" si="28"/>
        <v>0.42251434155424039</v>
      </c>
      <c r="J84" s="48">
        <f t="shared" si="29"/>
        <v>4.919463536383227E-2</v>
      </c>
      <c r="K84" s="48">
        <f t="shared" si="30"/>
        <v>0.10298253164913566</v>
      </c>
      <c r="M84" s="50">
        <f t="shared" si="31"/>
        <v>0.21993580622906789</v>
      </c>
      <c r="N84" s="50">
        <f t="shared" si="32"/>
        <v>0.26089304248094553</v>
      </c>
      <c r="P84" s="49">
        <f t="shared" si="33"/>
        <v>0.45877769934944435</v>
      </c>
      <c r="Q84" s="49">
        <f t="shared" si="34"/>
        <v>0.46221630565238458</v>
      </c>
      <c r="S84" s="49">
        <f t="shared" si="35"/>
        <v>0.49813320918254328</v>
      </c>
      <c r="T84" s="49">
        <f t="shared" si="36"/>
        <v>0.50186679081745678</v>
      </c>
      <c r="V84" t="s">
        <v>146</v>
      </c>
      <c r="W84" s="51">
        <f t="shared" si="37"/>
        <v>0</v>
      </c>
      <c r="X84" s="51">
        <f t="shared" si="46"/>
        <v>1</v>
      </c>
      <c r="Y84" s="51">
        <f>IF(V84="ALPSOPWIN",1,IF(V84="LNPSOPWIN",1,0))</f>
        <v>1</v>
      </c>
      <c r="Z84" s="51">
        <f t="shared" si="26"/>
        <v>1</v>
      </c>
      <c r="AA84" s="53">
        <f t="shared" si="47"/>
        <v>2.1999999999999999E-2</v>
      </c>
      <c r="AB84" s="54">
        <f t="shared" si="38"/>
        <v>0.51459388333984657</v>
      </c>
      <c r="AC84" s="57">
        <f t="shared" si="39"/>
        <v>0.66840052971211916</v>
      </c>
      <c r="AE84" s="46"/>
      <c r="AF84" s="46"/>
      <c r="AG84">
        <v>0.497528720277852</v>
      </c>
      <c r="AH84">
        <v>0.32283596045952445</v>
      </c>
      <c r="AI84">
        <v>4.8791076676462729E-2</v>
      </c>
      <c r="AJ84">
        <f t="shared" si="40"/>
        <v>0.13084424258616079</v>
      </c>
      <c r="AL84">
        <v>9.2872027785201317E-4</v>
      </c>
      <c r="AM84">
        <v>5.6235960459524448E-2</v>
      </c>
      <c r="AO84" t="s">
        <v>29</v>
      </c>
      <c r="AQ84">
        <v>29944</v>
      </c>
      <c r="AR84">
        <f t="shared" si="41"/>
        <v>13737.639429319761</v>
      </c>
      <c r="AS84">
        <f t="shared" si="42"/>
        <v>13840.605056455004</v>
      </c>
    </row>
    <row r="85" spans="1:45" x14ac:dyDescent="0.25">
      <c r="A85" s="13" t="s">
        <v>103</v>
      </c>
      <c r="B85" s="47" t="s">
        <v>0</v>
      </c>
      <c r="C85" s="48">
        <f>Output!E$4+(AL85*-0.3)+AG85</f>
        <v>0.47948855448079664</v>
      </c>
      <c r="D85" s="49">
        <f>Output!E$5+(AM85*-0.3)+AH85</f>
        <v>0.33646205770507348</v>
      </c>
      <c r="E85" s="49">
        <f>Output!E$6+AI85</f>
        <v>5.4392928517239043E-2</v>
      </c>
      <c r="F85" s="49">
        <f>Output!E$7+AJ85</f>
        <v>0.11993529693151792</v>
      </c>
      <c r="H85" s="48">
        <f t="shared" si="27"/>
        <v>0.4841954975288571</v>
      </c>
      <c r="I85" s="48">
        <f t="shared" si="28"/>
        <v>0.33976496812629492</v>
      </c>
      <c r="J85" s="48">
        <f t="shared" si="29"/>
        <v>5.4926881652001769E-2</v>
      </c>
      <c r="K85" s="48">
        <f t="shared" si="30"/>
        <v>0.12111265269284607</v>
      </c>
      <c r="M85" s="50">
        <f t="shared" si="31"/>
        <v>0.22865894949716054</v>
      </c>
      <c r="N85" s="50">
        <f t="shared" si="32"/>
        <v>0.23916696298907467</v>
      </c>
      <c r="P85" s="49">
        <f t="shared" si="33"/>
        <v>0.52444851252211933</v>
      </c>
      <c r="Q85" s="49">
        <f t="shared" si="34"/>
        <v>0.38186780892156308</v>
      </c>
      <c r="S85" s="49">
        <f t="shared" si="35"/>
        <v>0.57865945930083085</v>
      </c>
      <c r="T85" s="49">
        <f t="shared" si="36"/>
        <v>0.42134054069916904</v>
      </c>
      <c r="V85" t="s">
        <v>145</v>
      </c>
      <c r="W85" s="51">
        <f t="shared" si="37"/>
        <v>0</v>
      </c>
      <c r="X85" s="51">
        <f t="shared" si="46"/>
        <v>0</v>
      </c>
      <c r="Y85" s="51">
        <v>1</v>
      </c>
      <c r="Z85" s="51">
        <f t="shared" si="26"/>
        <v>1</v>
      </c>
      <c r="AA85" s="53">
        <f t="shared" si="47"/>
        <v>1.3000000000000001E-2</v>
      </c>
      <c r="AB85" s="54">
        <f t="shared" si="38"/>
        <v>0.58612013345813418</v>
      </c>
      <c r="AC85" s="57">
        <f t="shared" si="39"/>
        <v>0.99491417798346515</v>
      </c>
      <c r="AE85" s="46"/>
      <c r="AF85" s="46"/>
      <c r="AG85">
        <v>0.585348506401138</v>
      </c>
      <c r="AH85">
        <v>0.21025536815010498</v>
      </c>
      <c r="AI85">
        <v>5.4833028517239042E-2</v>
      </c>
      <c r="AJ85">
        <f t="shared" si="40"/>
        <v>0.14956309693151792</v>
      </c>
      <c r="AL85">
        <v>8.8748506401138016E-2</v>
      </c>
      <c r="AM85">
        <v>-5.6344631849895022E-2</v>
      </c>
      <c r="AO85" t="s">
        <v>29</v>
      </c>
      <c r="AQ85">
        <v>29526</v>
      </c>
      <c r="AR85">
        <f t="shared" si="41"/>
        <v>15484.866780728094</v>
      </c>
      <c r="AS85">
        <f t="shared" si="42"/>
        <v>11275.028926218072</v>
      </c>
    </row>
    <row r="86" spans="1:45" x14ac:dyDescent="0.25">
      <c r="A86" s="13" t="s">
        <v>104</v>
      </c>
      <c r="B86" s="47" t="s">
        <v>0</v>
      </c>
      <c r="C86" s="48">
        <f>Output!E$4+(AL86*-0.3)+AG86</f>
        <v>0.3401868661315221</v>
      </c>
      <c r="D86" s="49">
        <f>Output!E$5+(AM86*-0.3)+AH86</f>
        <v>0.39418836329113927</v>
      </c>
      <c r="E86" s="49">
        <f>Output!E$6+AI86</f>
        <v>7.628111025007718E-2</v>
      </c>
      <c r="F86" s="49">
        <f>Output!E$7+AJ86</f>
        <v>0.21458337628897803</v>
      </c>
      <c r="H86" s="48">
        <f t="shared" si="27"/>
        <v>0.33181202487109368</v>
      </c>
      <c r="I86" s="48">
        <f t="shared" si="28"/>
        <v>0.38448409396759914</v>
      </c>
      <c r="J86" s="48">
        <f t="shared" si="29"/>
        <v>7.4403194747993534E-2</v>
      </c>
      <c r="K86" s="48">
        <f t="shared" si="30"/>
        <v>0.20930068641331367</v>
      </c>
      <c r="M86" s="50">
        <f t="shared" si="31"/>
        <v>0.22231336996332937</v>
      </c>
      <c r="N86" s="50">
        <f t="shared" si="32"/>
        <v>0.2480770047042917</v>
      </c>
      <c r="P86" s="49">
        <f t="shared" si="33"/>
        <v>0.39488319076373979</v>
      </c>
      <c r="Q86" s="49">
        <f t="shared" si="34"/>
        <v>0.45486450302907855</v>
      </c>
      <c r="S86" s="49">
        <f t="shared" si="35"/>
        <v>0.46470639890906068</v>
      </c>
      <c r="T86" s="49">
        <f t="shared" si="36"/>
        <v>0.53529360109093926</v>
      </c>
      <c r="V86" t="s">
        <v>146</v>
      </c>
      <c r="W86" s="51">
        <f t="shared" si="37"/>
        <v>0</v>
      </c>
      <c r="X86" s="51">
        <f t="shared" si="46"/>
        <v>1</v>
      </c>
      <c r="Y86" s="51">
        <f t="shared" ref="Y86:Y91" si="48">IF(V86="ALPSOPWIN",1,IF(V86="LNPSOPWIN",1,0))</f>
        <v>1</v>
      </c>
      <c r="Z86" s="51">
        <f t="shared" si="26"/>
        <v>1</v>
      </c>
      <c r="AA86" s="53">
        <f t="shared" si="47"/>
        <v>2.1999999999999999E-2</v>
      </c>
      <c r="AB86" s="54">
        <f t="shared" si="38"/>
        <v>0.48116707306636408</v>
      </c>
      <c r="AC86" s="57">
        <f t="shared" si="39"/>
        <v>0.28705817826382296</v>
      </c>
      <c r="AE86" s="46"/>
      <c r="AF86" s="46"/>
      <c r="AG86">
        <v>0.38634609447360296</v>
      </c>
      <c r="AH86">
        <v>0.29272151898734178</v>
      </c>
      <c r="AI86">
        <v>7.6721210250077179E-2</v>
      </c>
      <c r="AJ86">
        <f t="shared" si="40"/>
        <v>0.24421117628897804</v>
      </c>
      <c r="AL86">
        <v>-0.11025390552639702</v>
      </c>
      <c r="AM86">
        <v>2.6121518987341774E-2</v>
      </c>
      <c r="AO86" t="s">
        <v>29</v>
      </c>
      <c r="AQ86">
        <v>25912</v>
      </c>
      <c r="AR86">
        <f t="shared" si="41"/>
        <v>10232.213239070026</v>
      </c>
      <c r="AS86">
        <f t="shared" si="42"/>
        <v>11786.449002489484</v>
      </c>
    </row>
    <row r="87" spans="1:45" x14ac:dyDescent="0.25">
      <c r="A87" s="13" t="s">
        <v>105</v>
      </c>
      <c r="B87" s="47" t="s">
        <v>0</v>
      </c>
      <c r="C87" s="48">
        <f>Output!E$4+(AL87*-0.3)+AG87</f>
        <v>0.47664231623960496</v>
      </c>
      <c r="D87" s="49">
        <f>Output!E$5+(AM87*-0.3)+AH87</f>
        <v>0.27778429202161337</v>
      </c>
      <c r="E87" s="49">
        <f>Output!E$6+AI87</f>
        <v>1.9400332268141331E-2</v>
      </c>
      <c r="F87" s="49">
        <f>Output!E$7+AJ87</f>
        <v>0.24281932735868969</v>
      </c>
      <c r="H87" s="48">
        <f t="shared" si="27"/>
        <v>0.46883791471518166</v>
      </c>
      <c r="I87" s="48">
        <f t="shared" si="28"/>
        <v>0.27323593347632524</v>
      </c>
      <c r="J87" s="48">
        <f t="shared" si="29"/>
        <v>1.9082676916173612E-2</v>
      </c>
      <c r="K87" s="48">
        <f t="shared" si="30"/>
        <v>0.23884347489231958</v>
      </c>
      <c r="M87" s="50">
        <f t="shared" si="31"/>
        <v>0.25520110028239967</v>
      </c>
      <c r="N87" s="50">
        <f t="shared" si="32"/>
        <v>0.14881571618421907</v>
      </c>
      <c r="P87" s="49">
        <f t="shared" si="33"/>
        <v>0.53466095244831435</v>
      </c>
      <c r="Q87" s="49">
        <f t="shared" si="34"/>
        <v>0.31161939848034576</v>
      </c>
      <c r="S87" s="49">
        <f t="shared" si="35"/>
        <v>0.63177758039827792</v>
      </c>
      <c r="T87" s="49">
        <f t="shared" si="36"/>
        <v>0.3682224196017222</v>
      </c>
      <c r="V87" t="s">
        <v>137</v>
      </c>
      <c r="W87" s="51">
        <f t="shared" si="37"/>
        <v>1</v>
      </c>
      <c r="X87" s="51">
        <f t="shared" si="46"/>
        <v>0</v>
      </c>
      <c r="Y87" s="51">
        <f t="shared" si="48"/>
        <v>0</v>
      </c>
      <c r="Z87" s="51">
        <f t="shared" si="26"/>
        <v>0</v>
      </c>
      <c r="AA87" s="53">
        <f t="shared" si="47"/>
        <v>-0.01</v>
      </c>
      <c r="AB87" s="54">
        <f t="shared" si="38"/>
        <v>0.61623825455558123</v>
      </c>
      <c r="AC87" s="57">
        <f t="shared" si="39"/>
        <v>0.99973851195820274</v>
      </c>
      <c r="AE87" s="46"/>
      <c r="AF87" s="46"/>
      <c r="AG87">
        <v>0.58128245177086413</v>
      </c>
      <c r="AH87">
        <v>0.12642998860230487</v>
      </c>
      <c r="AI87">
        <v>1.984043226814133E-2</v>
      </c>
      <c r="AJ87">
        <f t="shared" si="40"/>
        <v>0.2724471273586897</v>
      </c>
      <c r="AL87">
        <v>8.4682451770864142E-2</v>
      </c>
      <c r="AM87">
        <v>-0.14017001139769514</v>
      </c>
      <c r="AO87" t="s">
        <v>29</v>
      </c>
      <c r="AQ87">
        <v>23689</v>
      </c>
      <c r="AR87">
        <f t="shared" si="41"/>
        <v>12665.583302548119</v>
      </c>
      <c r="AS87">
        <f t="shared" si="42"/>
        <v>7381.9519306009106</v>
      </c>
    </row>
    <row r="88" spans="1:45" x14ac:dyDescent="0.25">
      <c r="A88" s="13" t="s">
        <v>106</v>
      </c>
      <c r="B88" s="47" t="s">
        <v>0</v>
      </c>
      <c r="C88" s="48">
        <f>Output!E$4+(AL88*-0.3)+AG88</f>
        <v>0.34706720682403591</v>
      </c>
      <c r="D88" s="49">
        <f>Output!E$5+(AM88*-0.3)+AH88</f>
        <v>0.45966543189372289</v>
      </c>
      <c r="E88" s="49">
        <f>Output!E$6+AI88</f>
        <v>6.9635056134222509E-2</v>
      </c>
      <c r="F88" s="49">
        <f>Output!E$7+AJ88</f>
        <v>0.11786170284040773</v>
      </c>
      <c r="H88" s="48">
        <f t="shared" si="27"/>
        <v>0.34908161801449494</v>
      </c>
      <c r="I88" s="48">
        <f t="shared" si="28"/>
        <v>0.46233337392819851</v>
      </c>
      <c r="J88" s="48">
        <f t="shared" si="29"/>
        <v>7.003922464558561E-2</v>
      </c>
      <c r="K88" s="48">
        <f t="shared" si="30"/>
        <v>0.11854578341172095</v>
      </c>
      <c r="M88" s="50">
        <f t="shared" si="31"/>
        <v>0.20900662265529305</v>
      </c>
      <c r="N88" s="50">
        <f t="shared" si="32"/>
        <v>0.29216075336505104</v>
      </c>
      <c r="P88" s="49">
        <f t="shared" si="33"/>
        <v>0.3884971336319738</v>
      </c>
      <c r="Q88" s="49">
        <f t="shared" si="34"/>
        <v>0.51743051195557543</v>
      </c>
      <c r="S88" s="49">
        <f t="shared" si="35"/>
        <v>0.42883903093608516</v>
      </c>
      <c r="T88" s="49">
        <f t="shared" si="36"/>
        <v>0.57116096906391489</v>
      </c>
      <c r="V88" t="s">
        <v>146</v>
      </c>
      <c r="W88" s="51">
        <f t="shared" si="37"/>
        <v>0</v>
      </c>
      <c r="X88" s="51">
        <f t="shared" si="46"/>
        <v>1</v>
      </c>
      <c r="Y88" s="51">
        <f t="shared" si="48"/>
        <v>1</v>
      </c>
      <c r="Z88" s="51">
        <f t="shared" si="26"/>
        <v>0</v>
      </c>
      <c r="AA88" s="53">
        <f t="shared" si="47"/>
        <v>1.3999999999999999E-2</v>
      </c>
      <c r="AB88" s="54">
        <f t="shared" si="38"/>
        <v>0.43729970509338856</v>
      </c>
      <c r="AC88" s="57">
        <f t="shared" si="39"/>
        <v>3.0668388351595688E-2</v>
      </c>
      <c r="AE88" s="46"/>
      <c r="AF88" s="46"/>
      <c r="AG88">
        <v>0.39617515260576552</v>
      </c>
      <c r="AH88">
        <v>0.38626018841960413</v>
      </c>
      <c r="AI88">
        <v>7.0075156134222508E-2</v>
      </c>
      <c r="AJ88">
        <f t="shared" si="40"/>
        <v>0.14748950284040774</v>
      </c>
      <c r="AL88">
        <v>-0.10042484739423446</v>
      </c>
      <c r="AM88">
        <v>0.11966018841960413</v>
      </c>
      <c r="AO88" t="s">
        <v>151</v>
      </c>
      <c r="AQ88">
        <v>28341</v>
      </c>
      <c r="AR88">
        <f t="shared" si="41"/>
        <v>11010.397264263769</v>
      </c>
      <c r="AS88">
        <f t="shared" si="42"/>
        <v>14664.498139332964</v>
      </c>
    </row>
    <row r="89" spans="1:45" x14ac:dyDescent="0.25">
      <c r="A89" s="13" t="s">
        <v>107</v>
      </c>
      <c r="B89" s="47" t="s">
        <v>0</v>
      </c>
      <c r="C89" s="48">
        <f>Output!E$4+(AL89*-0.3)+AG89</f>
        <v>0.38043718809234511</v>
      </c>
      <c r="D89" s="49">
        <f>Output!E$5+(AM89*-0.3)+AH89</f>
        <v>0.38128816026731471</v>
      </c>
      <c r="E89" s="49">
        <f>Output!E$6+AI89</f>
        <v>5.8403850703002955E-2</v>
      </c>
      <c r="F89" s="49">
        <f>Output!E$7+AJ89</f>
        <v>0.19338903735462595</v>
      </c>
      <c r="H89" s="48">
        <f t="shared" si="27"/>
        <v>0.37536294308542706</v>
      </c>
      <c r="I89" s="48">
        <f t="shared" si="28"/>
        <v>0.37620256505214938</v>
      </c>
      <c r="J89" s="48">
        <f t="shared" si="29"/>
        <v>5.7624864165696926E-2</v>
      </c>
      <c r="K89" s="48">
        <f t="shared" si="30"/>
        <v>0.1908096276967268</v>
      </c>
      <c r="M89" s="50">
        <f t="shared" si="31"/>
        <v>0.22841485120562777</v>
      </c>
      <c r="N89" s="50">
        <f t="shared" si="32"/>
        <v>0.23021179909283712</v>
      </c>
      <c r="P89" s="49">
        <f t="shared" si="33"/>
        <v>0.43210907057852832</v>
      </c>
      <c r="Q89" s="49">
        <f t="shared" si="34"/>
        <v>0.43339511638051276</v>
      </c>
      <c r="S89" s="49">
        <f t="shared" si="35"/>
        <v>0.49925705396844872</v>
      </c>
      <c r="T89" s="49">
        <f t="shared" si="36"/>
        <v>0.50074294603155123</v>
      </c>
      <c r="V89" t="s">
        <v>146</v>
      </c>
      <c r="W89" s="51">
        <f t="shared" si="37"/>
        <v>0</v>
      </c>
      <c r="X89" s="51">
        <f t="shared" si="46"/>
        <v>1</v>
      </c>
      <c r="Y89" s="51">
        <f t="shared" si="48"/>
        <v>1</v>
      </c>
      <c r="Z89" s="51">
        <f t="shared" si="26"/>
        <v>1</v>
      </c>
      <c r="AA89" s="53">
        <f t="shared" si="47"/>
        <v>2.1999999999999999E-2</v>
      </c>
      <c r="AB89" s="54">
        <f t="shared" si="38"/>
        <v>0.51571772812575201</v>
      </c>
      <c r="AC89" s="57">
        <f t="shared" si="39"/>
        <v>0.68047870662775889</v>
      </c>
      <c r="AE89" s="46"/>
      <c r="AF89" s="46"/>
      <c r="AG89">
        <v>0.44384655441763582</v>
      </c>
      <c r="AH89">
        <v>0.27429265752473531</v>
      </c>
      <c r="AI89">
        <v>5.8843950703002953E-2</v>
      </c>
      <c r="AJ89">
        <f t="shared" si="40"/>
        <v>0.22301683735462596</v>
      </c>
      <c r="AL89">
        <v>-5.2753445582364167E-2</v>
      </c>
      <c r="AM89">
        <v>7.6926575247353024E-3</v>
      </c>
      <c r="AO89" t="s">
        <v>29</v>
      </c>
      <c r="AQ89">
        <v>28805</v>
      </c>
      <c r="AR89">
        <f t="shared" si="41"/>
        <v>12446.901778014508</v>
      </c>
      <c r="AS89">
        <f t="shared" si="42"/>
        <v>12483.946327340669</v>
      </c>
    </row>
    <row r="90" spans="1:45" x14ac:dyDescent="0.25">
      <c r="A90" s="13" t="s">
        <v>108</v>
      </c>
      <c r="B90" s="47" t="s">
        <v>1</v>
      </c>
      <c r="C90" s="48">
        <f>Output!E$4+(AL90*-0.3)+AG90</f>
        <v>0.32116542818540517</v>
      </c>
      <c r="D90" s="49">
        <f>Output!E$5+(AM90*-0.3)+AH90</f>
        <v>0.51653211431589019</v>
      </c>
      <c r="E90" s="49">
        <f>Output!E$6+AI90</f>
        <v>8.5247995332987922E-2</v>
      </c>
      <c r="F90" s="49">
        <f>Output!E$7+AJ90</f>
        <v>5.8013186808018785E-2</v>
      </c>
      <c r="H90" s="48">
        <f t="shared" si="27"/>
        <v>0.32739953284223583</v>
      </c>
      <c r="I90" s="48">
        <f t="shared" si="28"/>
        <v>0.52655845892419084</v>
      </c>
      <c r="J90" s="48">
        <f t="shared" si="29"/>
        <v>8.6902734224697228E-2</v>
      </c>
      <c r="K90" s="48">
        <f t="shared" si="30"/>
        <v>5.9139274008876148E-2</v>
      </c>
      <c r="M90" s="50">
        <f t="shared" si="31"/>
        <v>0.18359173586490019</v>
      </c>
      <c r="N90" s="50">
        <f t="shared" si="32"/>
        <v>0.37816781002014621</v>
      </c>
      <c r="P90" s="49">
        <f t="shared" si="33"/>
        <v>0.35421163864303362</v>
      </c>
      <c r="Q90" s="49">
        <f t="shared" si="34"/>
        <v>0.58178684534882541</v>
      </c>
      <c r="S90" s="49">
        <f t="shared" si="35"/>
        <v>0.37843185080000025</v>
      </c>
      <c r="T90" s="49">
        <f t="shared" si="36"/>
        <v>0.6215681491999997</v>
      </c>
      <c r="V90" t="s">
        <v>141</v>
      </c>
      <c r="W90" s="51">
        <f t="shared" si="37"/>
        <v>1</v>
      </c>
      <c r="X90" s="51">
        <f t="shared" si="46"/>
        <v>0</v>
      </c>
      <c r="Y90" s="51">
        <f t="shared" si="48"/>
        <v>0</v>
      </c>
      <c r="Z90" s="51">
        <f t="shared" si="26"/>
        <v>0</v>
      </c>
      <c r="AA90" s="53">
        <f t="shared" si="47"/>
        <v>0.01</v>
      </c>
      <c r="AB90" s="54">
        <f t="shared" si="38"/>
        <v>0.38289252495730364</v>
      </c>
      <c r="AC90" s="57">
        <f t="shared" si="39"/>
        <v>2.3734874730230171E-4</v>
      </c>
      <c r="AE90" s="46"/>
      <c r="AF90" s="46"/>
      <c r="AG90">
        <v>0.35917261169343589</v>
      </c>
      <c r="AH90">
        <v>0.46749830616555738</v>
      </c>
      <c r="AI90">
        <v>8.5688095332987921E-2</v>
      </c>
      <c r="AJ90">
        <f t="shared" si="40"/>
        <v>8.7640986808018795E-2</v>
      </c>
      <c r="AL90">
        <v>-0.13742738830656409</v>
      </c>
      <c r="AM90">
        <v>0.20089830616555737</v>
      </c>
      <c r="AO90" t="s">
        <v>151</v>
      </c>
      <c r="AQ90">
        <v>25091</v>
      </c>
      <c r="AR90">
        <f t="shared" si="41"/>
        <v>8887.5242251923573</v>
      </c>
      <c r="AS90">
        <f t="shared" si="42"/>
        <v>14597.613736647378</v>
      </c>
    </row>
    <row r="91" spans="1:45" x14ac:dyDescent="0.25">
      <c r="A91" s="13" t="s">
        <v>109</v>
      </c>
      <c r="B91" s="47" t="s">
        <v>0</v>
      </c>
      <c r="C91" s="48">
        <f>Output!E$4+(AL91*-0.3)+AG91</f>
        <v>0.3723122904778563</v>
      </c>
      <c r="D91" s="49">
        <f>Output!E$5+(AM91*-0.3)+AH91</f>
        <v>0.43109747477086685</v>
      </c>
      <c r="E91" s="49">
        <f>Output!E$6+AI91</f>
        <v>0.15918349196809628</v>
      </c>
      <c r="F91" s="49">
        <f>Output!E$7+AJ91</f>
        <v>3.3060229105156352E-2</v>
      </c>
      <c r="H91" s="48">
        <f t="shared" si="27"/>
        <v>0.37393761543808568</v>
      </c>
      <c r="I91" s="48">
        <f t="shared" si="28"/>
        <v>0.43297942576726733</v>
      </c>
      <c r="J91" s="48">
        <f t="shared" si="29"/>
        <v>0.15987840564505321</v>
      </c>
      <c r="K91" s="48">
        <f t="shared" si="30"/>
        <v>3.3204553149593745E-2</v>
      </c>
      <c r="M91" s="50">
        <f t="shared" si="31"/>
        <v>0.16858113982283937</v>
      </c>
      <c r="N91" s="50">
        <f t="shared" si="32"/>
        <v>0.44096773459642546</v>
      </c>
      <c r="P91" s="49">
        <f t="shared" si="33"/>
        <v>0.40648776071205361</v>
      </c>
      <c r="Q91" s="49">
        <f t="shared" si="34"/>
        <v>0.51812278069611772</v>
      </c>
      <c r="S91" s="49">
        <f t="shared" si="35"/>
        <v>0.43963132855156223</v>
      </c>
      <c r="T91" s="49">
        <f t="shared" si="36"/>
        <v>0.56036867144843772</v>
      </c>
      <c r="V91" t="s">
        <v>140</v>
      </c>
      <c r="W91" s="51">
        <v>1</v>
      </c>
      <c r="X91" s="51">
        <f t="shared" si="46"/>
        <v>0</v>
      </c>
      <c r="Y91" s="51">
        <f t="shared" si="48"/>
        <v>0</v>
      </c>
      <c r="Z91" s="51">
        <f t="shared" si="26"/>
        <v>0</v>
      </c>
      <c r="AA91" s="53">
        <f t="shared" si="47"/>
        <v>-0.01</v>
      </c>
      <c r="AB91" s="54">
        <f t="shared" si="38"/>
        <v>0.4240920027088656</v>
      </c>
      <c r="AC91" s="57">
        <f t="shared" si="39"/>
        <v>1.175034984404244E-2</v>
      </c>
      <c r="AE91" s="46"/>
      <c r="AF91" s="46"/>
      <c r="AG91">
        <v>0.43223955782550899</v>
      </c>
      <c r="AH91">
        <v>0.34544882110123837</v>
      </c>
      <c r="AI91">
        <v>0.15962359196809628</v>
      </c>
      <c r="AJ91">
        <f t="shared" si="40"/>
        <v>6.2688029105156362E-2</v>
      </c>
      <c r="AL91">
        <v>-6.4360442174490995E-2</v>
      </c>
      <c r="AM91">
        <v>7.8848821101238364E-2</v>
      </c>
      <c r="AO91" t="s">
        <v>151</v>
      </c>
      <c r="AQ91">
        <v>28586</v>
      </c>
      <c r="AR91">
        <f t="shared" si="41"/>
        <v>11619.859127714764</v>
      </c>
      <c r="AS91">
        <f t="shared" si="42"/>
        <v>14811.057808979222</v>
      </c>
    </row>
    <row r="92" spans="1:45" x14ac:dyDescent="0.25">
      <c r="A92" s="13"/>
      <c r="B92" s="47"/>
      <c r="C92" s="48"/>
      <c r="D92" s="49"/>
      <c r="E92" s="49"/>
      <c r="F92" s="49"/>
      <c r="H92" s="48"/>
      <c r="I92" s="48"/>
      <c r="J92" s="48"/>
      <c r="K92" s="48"/>
      <c r="M92" s="50"/>
      <c r="N92" s="50"/>
      <c r="P92" s="49"/>
      <c r="Q92" s="49"/>
      <c r="S92" s="49"/>
      <c r="T92" s="49"/>
      <c r="W92" s="51"/>
      <c r="X92" s="51"/>
      <c r="Y92" s="51"/>
      <c r="Z92" s="51"/>
      <c r="AA92" s="53"/>
      <c r="AB92" s="54"/>
      <c r="AC92" s="57"/>
    </row>
    <row r="93" spans="1:45" x14ac:dyDescent="0.25">
      <c r="V93" t="s">
        <v>156</v>
      </c>
      <c r="AA93" s="46">
        <f>SUM(AA3:AA91)/89</f>
        <v>5.5393258426966316E-3</v>
      </c>
      <c r="AB93" s="46"/>
      <c r="AE93" s="46"/>
      <c r="AF93" s="46"/>
      <c r="AR93">
        <f>SUM(AR3:AR91)</f>
        <v>1132315.4893170446</v>
      </c>
      <c r="AS93">
        <f>SUM(AS3:AS91)</f>
        <v>1056866.4428186119</v>
      </c>
    </row>
    <row r="94" spans="1:45" x14ac:dyDescent="0.25">
      <c r="C94">
        <f>AVERAGE(C2:C91)</f>
        <v>0.41622130294643184</v>
      </c>
      <c r="D94">
        <f>AVERAGE(D2:D91)</f>
        <v>0.37634373721985176</v>
      </c>
      <c r="E94">
        <f>AVERAGE(E2:E91)</f>
        <v>7.4836379096472616E-2</v>
      </c>
      <c r="F94">
        <f>AVERAGE(F2:F91)</f>
        <v>0.1328998063802653</v>
      </c>
      <c r="M94">
        <f>AVERAGE(M2:M91)</f>
        <v>0.20917394138782797</v>
      </c>
      <c r="N94">
        <f>AVERAGE(N2:N91)</f>
        <v>0.30200770284103035</v>
      </c>
      <c r="V94" t="s">
        <v>155</v>
      </c>
      <c r="AC94" s="59">
        <f>SUM(AC3:AC91)</f>
        <v>52.297150954470943</v>
      </c>
      <c r="AR94">
        <f>AR93/($AR93+$AS93)</f>
        <v>0.517232246756401</v>
      </c>
      <c r="AS94">
        <f>AS93/($AR93+$AS93)</f>
        <v>0.482767753243599</v>
      </c>
    </row>
  </sheetData>
  <mergeCells count="4">
    <mergeCell ref="AL1:AM1"/>
    <mergeCell ref="H1:K1"/>
    <mergeCell ref="C1:F1"/>
    <mergeCell ref="AG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Seats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WBPC</dc:creator>
  <cp:lastModifiedBy>WBPC</cp:lastModifiedBy>
  <dcterms:created xsi:type="dcterms:W3CDTF">2014-05-30T14:42:39Z</dcterms:created>
  <dcterms:modified xsi:type="dcterms:W3CDTF">2015-01-30T19:03:36Z</dcterms:modified>
</cp:coreProperties>
</file>