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PC\Dropbox\"/>
    </mc:Choice>
  </mc:AlternateContent>
  <bookViews>
    <workbookView xWindow="0" yWindow="0" windowWidth="28800" windowHeight="12435"/>
  </bookViews>
  <sheets>
    <sheet name="Database" sheetId="1" r:id="rId1"/>
    <sheet name="Sheet1" sheetId="3" r:id="rId2"/>
    <sheet name="Sea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57" i="1" l="1"/>
  <c r="AZ59" i="1"/>
  <c r="AZ61" i="1"/>
  <c r="AY61" i="1"/>
  <c r="AX61" i="1"/>
  <c r="AU61" i="1"/>
  <c r="AT61" i="1"/>
  <c r="AZ60" i="1"/>
  <c r="AY60" i="1"/>
  <c r="AX60" i="1"/>
  <c r="AU60" i="1"/>
  <c r="AT60" i="1"/>
  <c r="AY59" i="1"/>
  <c r="AX59" i="1"/>
  <c r="AU59" i="1"/>
  <c r="AT59" i="1"/>
  <c r="AZ58" i="1"/>
  <c r="AY58" i="1"/>
  <c r="AX58" i="1"/>
  <c r="AU58" i="1"/>
  <c r="AT58" i="1"/>
  <c r="AZ57" i="1"/>
  <c r="AY57" i="1"/>
  <c r="AU57" i="1"/>
  <c r="AT57" i="1"/>
  <c r="AZ56" i="1"/>
  <c r="AY56" i="1"/>
  <c r="AX56" i="1"/>
  <c r="AU56" i="1"/>
  <c r="AT56" i="1"/>
  <c r="AZ55" i="1"/>
  <c r="AY55" i="1"/>
  <c r="AX55" i="1"/>
  <c r="AU55" i="1"/>
  <c r="AT55" i="1"/>
  <c r="AZ54" i="1"/>
  <c r="AY54" i="1"/>
  <c r="AX54" i="1"/>
  <c r="AU54" i="1"/>
  <c r="AT54" i="1"/>
  <c r="AZ53" i="1"/>
  <c r="AY53" i="1"/>
  <c r="AU53" i="1"/>
  <c r="AT53" i="1"/>
  <c r="AZ52" i="1"/>
  <c r="AY52" i="1"/>
  <c r="AX52" i="1"/>
  <c r="AU52" i="1"/>
  <c r="AT52" i="1"/>
  <c r="AZ51" i="1"/>
  <c r="AY51" i="1"/>
  <c r="AU51" i="1"/>
  <c r="AT51" i="1"/>
  <c r="C51" i="1"/>
  <c r="C53" i="1"/>
  <c r="C57" i="1"/>
  <c r="C20" i="3"/>
  <c r="BA54" i="1" l="1"/>
  <c r="BA60" i="1"/>
  <c r="AV60" i="1" s="1"/>
  <c r="BA56" i="1"/>
  <c r="AV56" i="1" s="1"/>
  <c r="BA52" i="1"/>
  <c r="AW52" i="1" s="1"/>
  <c r="BA58" i="1"/>
  <c r="AV58" i="1" s="1"/>
  <c r="AX51" i="1"/>
  <c r="AX53" i="1"/>
  <c r="BA51" i="1"/>
  <c r="AV51" i="1" s="1"/>
  <c r="BA53" i="1"/>
  <c r="BA55" i="1"/>
  <c r="AV55" i="1" s="1"/>
  <c r="BA57" i="1"/>
  <c r="AV57" i="1" s="1"/>
  <c r="BA59" i="1"/>
  <c r="AV59" i="1" s="1"/>
  <c r="BA61" i="1"/>
  <c r="AW61" i="1" s="1"/>
  <c r="AW54" i="1"/>
  <c r="AV54" i="1"/>
  <c r="AW56" i="1"/>
  <c r="AW58" i="1"/>
  <c r="AW60" i="1"/>
  <c r="AW53" i="1"/>
  <c r="BF66" i="1"/>
  <c r="BE66" i="1"/>
  <c r="BD66" i="1"/>
  <c r="AW59" i="1" l="1"/>
  <c r="AW51" i="1"/>
  <c r="AV52" i="1"/>
  <c r="AV53" i="1"/>
  <c r="AV61" i="1"/>
  <c r="AW57" i="1"/>
  <c r="AW55" i="1"/>
  <c r="BG56" i="1"/>
  <c r="BG55" i="1"/>
  <c r="BG54" i="1"/>
  <c r="BG53" i="1"/>
  <c r="A72" i="1" l="1"/>
  <c r="A73" i="1" s="1"/>
  <c r="BG52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AU49" i="1"/>
  <c r="AU48" i="1"/>
  <c r="AU47" i="1"/>
  <c r="AU46" i="1"/>
  <c r="AU44" i="1"/>
  <c r="AU43" i="1"/>
  <c r="AU42" i="1"/>
  <c r="AU41" i="1"/>
  <c r="AU39" i="1"/>
  <c r="AU38" i="1"/>
  <c r="AU36" i="1"/>
  <c r="AU35" i="1"/>
  <c r="AU34" i="1"/>
  <c r="AU33" i="1"/>
  <c r="AU32" i="1"/>
  <c r="AU30" i="1"/>
  <c r="AU29" i="1"/>
  <c r="AU28" i="1"/>
  <c r="AU27" i="1"/>
  <c r="AU26" i="1"/>
  <c r="AU24" i="1"/>
  <c r="AU23" i="1"/>
  <c r="AU22" i="1"/>
  <c r="AU21" i="1"/>
  <c r="AU20" i="1"/>
  <c r="AU19" i="1"/>
  <c r="AU18" i="1"/>
  <c r="AU17" i="1"/>
  <c r="AU16" i="1"/>
  <c r="AU15" i="1"/>
  <c r="AU14" i="1"/>
  <c r="AU12" i="1"/>
  <c r="AU11" i="1"/>
  <c r="AU10" i="1"/>
  <c r="AU9" i="1"/>
  <c r="AU8" i="1"/>
  <c r="AU7" i="1"/>
  <c r="AU6" i="1"/>
  <c r="AU5" i="1"/>
  <c r="AU4" i="1"/>
  <c r="AU3" i="1"/>
  <c r="AR7" i="1"/>
  <c r="AU45" i="1" s="1"/>
  <c r="AR6" i="1"/>
  <c r="AU37" i="1" s="1"/>
  <c r="AU40" i="1" l="1"/>
  <c r="AU25" i="1"/>
  <c r="AU31" i="1"/>
  <c r="AT11" i="1" l="1"/>
  <c r="AT16" i="1"/>
  <c r="C13" i="1" l="1"/>
  <c r="AU13" i="1" s="1"/>
  <c r="BG5" i="1" l="1"/>
  <c r="BG4" i="1"/>
  <c r="BG3" i="1"/>
  <c r="AL50" i="1"/>
  <c r="AK50" i="1"/>
  <c r="AJ50" i="1"/>
  <c r="AL52" i="1"/>
  <c r="AK52" i="1"/>
  <c r="AJ52" i="1"/>
  <c r="AL49" i="1"/>
  <c r="AK49" i="1"/>
  <c r="AJ49" i="1"/>
  <c r="AL48" i="1"/>
  <c r="AK48" i="1"/>
  <c r="AJ48" i="1"/>
  <c r="AL47" i="1"/>
  <c r="AK47" i="1"/>
  <c r="AJ47" i="1"/>
  <c r="AL46" i="1"/>
  <c r="AK46" i="1"/>
  <c r="AJ46" i="1"/>
  <c r="AL45" i="1"/>
  <c r="AK45" i="1"/>
  <c r="AJ45" i="1"/>
  <c r="AL44" i="1"/>
  <c r="AK44" i="1"/>
  <c r="AJ44" i="1"/>
  <c r="AL43" i="1"/>
  <c r="AK43" i="1"/>
  <c r="AJ43" i="1"/>
  <c r="AL42" i="1"/>
  <c r="AK42" i="1"/>
  <c r="AJ42" i="1"/>
  <c r="AL41" i="1"/>
  <c r="AK41" i="1"/>
  <c r="AJ41" i="1"/>
  <c r="AL40" i="1"/>
  <c r="AK40" i="1"/>
  <c r="AJ40" i="1"/>
  <c r="AL39" i="1"/>
  <c r="AK39" i="1"/>
  <c r="AJ39" i="1"/>
  <c r="AL38" i="1"/>
  <c r="AK38" i="1"/>
  <c r="AJ38" i="1"/>
  <c r="AL37" i="1"/>
  <c r="AK37" i="1"/>
  <c r="AJ37" i="1"/>
  <c r="AL36" i="1"/>
  <c r="AK36" i="1"/>
  <c r="AJ36" i="1"/>
  <c r="AL35" i="1"/>
  <c r="AK35" i="1"/>
  <c r="AJ35" i="1"/>
  <c r="AL34" i="1"/>
  <c r="AK34" i="1"/>
  <c r="AJ34" i="1"/>
  <c r="AL33" i="1"/>
  <c r="AK33" i="1"/>
  <c r="AJ33" i="1"/>
  <c r="AL32" i="1"/>
  <c r="AK32" i="1"/>
  <c r="AJ32" i="1"/>
  <c r="AL31" i="1"/>
  <c r="AK31" i="1"/>
  <c r="AJ31" i="1"/>
  <c r="AL30" i="1"/>
  <c r="AK30" i="1"/>
  <c r="AJ30" i="1"/>
  <c r="AL29" i="1"/>
  <c r="AK29" i="1"/>
  <c r="AJ29" i="1"/>
  <c r="AL28" i="1"/>
  <c r="AK28" i="1"/>
  <c r="AJ28" i="1"/>
  <c r="AL27" i="1"/>
  <c r="AK27" i="1"/>
  <c r="AJ27" i="1"/>
  <c r="AL26" i="1"/>
  <c r="AK26" i="1"/>
  <c r="AJ26" i="1"/>
  <c r="AL25" i="1"/>
  <c r="AK25" i="1"/>
  <c r="AJ25" i="1"/>
  <c r="AL24" i="1"/>
  <c r="AK24" i="1"/>
  <c r="AJ24" i="1"/>
  <c r="AL23" i="1"/>
  <c r="AK23" i="1"/>
  <c r="AJ23" i="1"/>
  <c r="AL22" i="1"/>
  <c r="AK22" i="1"/>
  <c r="AJ22" i="1"/>
  <c r="AL21" i="1"/>
  <c r="AK21" i="1"/>
  <c r="AJ21" i="1"/>
  <c r="AL20" i="1"/>
  <c r="AK20" i="1"/>
  <c r="AJ20" i="1"/>
  <c r="AL19" i="1"/>
  <c r="AK19" i="1"/>
  <c r="AJ19" i="1"/>
  <c r="AL18" i="1"/>
  <c r="AK18" i="1"/>
  <c r="AJ18" i="1"/>
  <c r="AL17" i="1"/>
  <c r="AK17" i="1"/>
  <c r="AJ17" i="1"/>
  <c r="AL15" i="1"/>
  <c r="AK15" i="1"/>
  <c r="AJ15" i="1"/>
  <c r="AL14" i="1"/>
  <c r="AK14" i="1"/>
  <c r="AJ14" i="1"/>
  <c r="AL13" i="1"/>
  <c r="AK13" i="1"/>
  <c r="AJ13" i="1"/>
  <c r="AL12" i="1"/>
  <c r="AK12" i="1"/>
  <c r="AJ12" i="1"/>
  <c r="AL10" i="1"/>
  <c r="AK10" i="1"/>
  <c r="AJ10" i="1"/>
  <c r="AL9" i="1"/>
  <c r="AK9" i="1"/>
  <c r="AJ9" i="1"/>
  <c r="AL8" i="1"/>
  <c r="AK8" i="1"/>
  <c r="AJ8" i="1"/>
  <c r="AL7" i="1"/>
  <c r="AK7" i="1"/>
  <c r="AJ7" i="1"/>
  <c r="AL6" i="1"/>
  <c r="AK6" i="1"/>
  <c r="AJ6" i="1"/>
  <c r="C50" i="1"/>
  <c r="AU50" i="1" s="1"/>
  <c r="AT50" i="1"/>
  <c r="AK64" i="1" l="1"/>
  <c r="AL64" i="1"/>
  <c r="AJ64" i="1"/>
  <c r="AZ48" i="1"/>
  <c r="AX48" i="1" l="1"/>
  <c r="AY50" i="1"/>
  <c r="AZ50" i="1"/>
  <c r="AY48" i="1"/>
  <c r="AX50" i="1"/>
  <c r="BG10" i="1" l="1"/>
  <c r="BG9" i="1"/>
  <c r="BG8" i="1"/>
  <c r="BG7" i="1"/>
  <c r="BG6" i="1"/>
  <c r="DA90" i="2" l="1"/>
  <c r="DA88" i="2"/>
  <c r="DA87" i="2"/>
  <c r="DA84" i="2"/>
  <c r="DA83" i="2"/>
  <c r="DA82" i="2"/>
  <c r="DA81" i="2"/>
  <c r="DA80" i="2"/>
  <c r="DA72" i="2"/>
  <c r="DA71" i="2"/>
  <c r="DA68" i="2"/>
  <c r="DA66" i="2"/>
  <c r="DA65" i="2"/>
  <c r="DA64" i="2"/>
  <c r="DA62" i="2"/>
  <c r="DA61" i="2"/>
  <c r="DA58" i="2"/>
  <c r="DA52" i="2"/>
  <c r="DA50" i="2"/>
  <c r="DA49" i="2"/>
  <c r="DA47" i="2"/>
  <c r="DA45" i="2"/>
  <c r="DA44" i="2"/>
  <c r="DA43" i="2"/>
  <c r="DA41" i="2"/>
  <c r="DA35" i="2"/>
  <c r="DA32" i="2"/>
  <c r="DA28" i="2"/>
  <c r="DA27" i="2"/>
  <c r="DA25" i="2"/>
  <c r="DA23" i="2"/>
  <c r="DA22" i="2"/>
  <c r="DA18" i="2"/>
  <c r="DA17" i="2"/>
  <c r="DA15" i="2"/>
  <c r="DA14" i="2"/>
  <c r="DA10" i="2"/>
  <c r="DA9" i="2"/>
  <c r="DA4" i="2"/>
  <c r="DA3" i="2"/>
  <c r="AT5" i="1"/>
  <c r="AT4" i="1"/>
  <c r="AT3" i="1"/>
  <c r="E3" i="2"/>
  <c r="G3" i="2"/>
  <c r="H3" i="2"/>
  <c r="AP3" i="2"/>
  <c r="AR3" i="2"/>
  <c r="AS3" i="2"/>
  <c r="AT3" i="2"/>
  <c r="AU3" i="2"/>
  <c r="AV3" i="2"/>
  <c r="AW3" i="2"/>
  <c r="AX3" i="2"/>
  <c r="AY3" i="2"/>
  <c r="BA3" i="2"/>
  <c r="BD3" i="2"/>
  <c r="CT3" i="2"/>
  <c r="CU3" i="2"/>
  <c r="CV3" i="2"/>
  <c r="CW3" i="2" s="1"/>
  <c r="E4" i="2"/>
  <c r="G4" i="2"/>
  <c r="H4" i="2"/>
  <c r="AP4" i="2"/>
  <c r="AR4" i="2"/>
  <c r="AS4" i="2"/>
  <c r="AT4" i="2"/>
  <c r="AU4" i="2"/>
  <c r="AV4" i="2"/>
  <c r="AW4" i="2"/>
  <c r="AX4" i="2"/>
  <c r="AY4" i="2"/>
  <c r="BA4" i="2"/>
  <c r="BD4" i="2"/>
  <c r="CT4" i="2"/>
  <c r="CU4" i="2"/>
  <c r="CX4" i="2" s="1"/>
  <c r="CV4" i="2"/>
  <c r="CW4" i="2"/>
  <c r="E5" i="2"/>
  <c r="G5" i="2"/>
  <c r="H5" i="2"/>
  <c r="AP5" i="2"/>
  <c r="AR5" i="2"/>
  <c r="AS5" i="2"/>
  <c r="AT5" i="2"/>
  <c r="AU5" i="2"/>
  <c r="AW5" i="2"/>
  <c r="AX5" i="2"/>
  <c r="AY5" i="2"/>
  <c r="BA5" i="2"/>
  <c r="BD5" i="2"/>
  <c r="CT5" i="2"/>
  <c r="CU5" i="2"/>
  <c r="CV5" i="2"/>
  <c r="CW5" i="2"/>
  <c r="E6" i="2"/>
  <c r="G6" i="2"/>
  <c r="H6" i="2" s="1"/>
  <c r="AP6" i="2"/>
  <c r="AR6" i="2"/>
  <c r="AS6" i="2"/>
  <c r="AT6" i="2"/>
  <c r="AU6" i="2"/>
  <c r="AV6" i="2"/>
  <c r="AW6" i="2"/>
  <c r="AX6" i="2"/>
  <c r="AY6" i="2"/>
  <c r="BA6" i="2"/>
  <c r="BD6" i="2"/>
  <c r="CT6" i="2"/>
  <c r="CU6" i="2"/>
  <c r="CV6" i="2"/>
  <c r="CW6" i="2"/>
  <c r="E7" i="2"/>
  <c r="G7" i="2"/>
  <c r="H7" i="2" s="1"/>
  <c r="AP7" i="2"/>
  <c r="AR7" i="2"/>
  <c r="AS7" i="2"/>
  <c r="AT7" i="2"/>
  <c r="AU7" i="2"/>
  <c r="AV7" i="2"/>
  <c r="AW7" i="2"/>
  <c r="AX7" i="2"/>
  <c r="AY7" i="2"/>
  <c r="BA7" i="2"/>
  <c r="BD7" i="2"/>
  <c r="CT7" i="2"/>
  <c r="CU7" i="2"/>
  <c r="CV7" i="2"/>
  <c r="CW7" i="2"/>
  <c r="E8" i="2"/>
  <c r="G8" i="2"/>
  <c r="H8" i="2"/>
  <c r="AP8" i="2"/>
  <c r="AR8" i="2"/>
  <c r="AS8" i="2"/>
  <c r="AT8" i="2"/>
  <c r="AU8" i="2"/>
  <c r="AV8" i="2"/>
  <c r="AW8" i="2"/>
  <c r="AX8" i="2"/>
  <c r="AY8" i="2"/>
  <c r="BA8" i="2"/>
  <c r="BD8" i="2"/>
  <c r="CT8" i="2"/>
  <c r="CX8" i="2" s="1"/>
  <c r="CU8" i="2"/>
  <c r="CV8" i="2"/>
  <c r="CW8" i="2" s="1"/>
  <c r="E9" i="2"/>
  <c r="G9" i="2"/>
  <c r="H9" i="2"/>
  <c r="AP9" i="2"/>
  <c r="AR9" i="2"/>
  <c r="AS9" i="2"/>
  <c r="AT9" i="2"/>
  <c r="AU9" i="2"/>
  <c r="AV9" i="2"/>
  <c r="AW9" i="2"/>
  <c r="AX9" i="2"/>
  <c r="AY9" i="2"/>
  <c r="BA9" i="2"/>
  <c r="BD9" i="2"/>
  <c r="CT9" i="2"/>
  <c r="CU9" i="2"/>
  <c r="CV9" i="2"/>
  <c r="CW9" i="2"/>
  <c r="CX9" i="2"/>
  <c r="E10" i="2"/>
  <c r="G10" i="2"/>
  <c r="H10" i="2"/>
  <c r="AP10" i="2"/>
  <c r="AR10" i="2"/>
  <c r="AS10" i="2"/>
  <c r="AT10" i="2"/>
  <c r="AU10" i="2"/>
  <c r="AV10" i="2"/>
  <c r="AW10" i="2"/>
  <c r="AX10" i="2"/>
  <c r="AY10" i="2"/>
  <c r="BA10" i="2"/>
  <c r="BD10" i="2"/>
  <c r="CT10" i="2"/>
  <c r="CU10" i="2"/>
  <c r="CV10" i="2"/>
  <c r="CW10" i="2"/>
  <c r="CX10" i="2"/>
  <c r="E11" i="2"/>
  <c r="G11" i="2"/>
  <c r="H11" i="2" s="1"/>
  <c r="AP11" i="2"/>
  <c r="AR11" i="2"/>
  <c r="AS11" i="2"/>
  <c r="AT11" i="2"/>
  <c r="AU11" i="2"/>
  <c r="AV11" i="2"/>
  <c r="AW11" i="2"/>
  <c r="AX11" i="2"/>
  <c r="AY11" i="2"/>
  <c r="BA11" i="2"/>
  <c r="BD11" i="2"/>
  <c r="CT11" i="2"/>
  <c r="CU11" i="2"/>
  <c r="CX11" i="2" s="1"/>
  <c r="CV11" i="2"/>
  <c r="CW11" i="2"/>
  <c r="E12" i="2"/>
  <c r="G12" i="2"/>
  <c r="H12" i="2"/>
  <c r="AP12" i="2"/>
  <c r="AR12" i="2"/>
  <c r="AS12" i="2"/>
  <c r="AT12" i="2"/>
  <c r="AU12" i="2"/>
  <c r="AV12" i="2"/>
  <c r="AW12" i="2"/>
  <c r="AX12" i="2"/>
  <c r="AY12" i="2"/>
  <c r="BA12" i="2"/>
  <c r="BD12" i="2"/>
  <c r="CT12" i="2"/>
  <c r="CU12" i="2"/>
  <c r="CV12" i="2"/>
  <c r="CW12" i="2" s="1"/>
  <c r="E13" i="2"/>
  <c r="G13" i="2"/>
  <c r="H13" i="2"/>
  <c r="AP13" i="2"/>
  <c r="AR13" i="2"/>
  <c r="AS13" i="2"/>
  <c r="AT13" i="2"/>
  <c r="AU13" i="2"/>
  <c r="AV13" i="2"/>
  <c r="AW13" i="2"/>
  <c r="AX13" i="2"/>
  <c r="AY13" i="2"/>
  <c r="BA13" i="2"/>
  <c r="BD13" i="2"/>
  <c r="CT13" i="2"/>
  <c r="CU13" i="2"/>
  <c r="CX13" i="2" s="1"/>
  <c r="CV13" i="2"/>
  <c r="CW13" i="2"/>
  <c r="E14" i="2"/>
  <c r="G14" i="2"/>
  <c r="H14" i="2"/>
  <c r="AP14" i="2"/>
  <c r="AR14" i="2"/>
  <c r="AS14" i="2"/>
  <c r="AT14" i="2"/>
  <c r="AU14" i="2"/>
  <c r="AV14" i="2"/>
  <c r="AW14" i="2"/>
  <c r="AX14" i="2"/>
  <c r="AY14" i="2"/>
  <c r="BA14" i="2"/>
  <c r="BD14" i="2"/>
  <c r="CT14" i="2"/>
  <c r="CU14" i="2"/>
  <c r="CV14" i="2"/>
  <c r="CW14" i="2"/>
  <c r="CX14" i="2"/>
  <c r="E15" i="2"/>
  <c r="AP15" i="2"/>
  <c r="AR15" i="2"/>
  <c r="AS15" i="2"/>
  <c r="AT15" i="2"/>
  <c r="AU15" i="2"/>
  <c r="AV15" i="2"/>
  <c r="AW15" i="2"/>
  <c r="AX15" i="2"/>
  <c r="AY15" i="2"/>
  <c r="BA15" i="2"/>
  <c r="BD15" i="2"/>
  <c r="CT15" i="2"/>
  <c r="CU15" i="2"/>
  <c r="CX15" i="2" s="1"/>
  <c r="CV15" i="2"/>
  <c r="CW15" i="2"/>
  <c r="E16" i="2"/>
  <c r="G16" i="2"/>
  <c r="H16" i="2" s="1"/>
  <c r="AP16" i="2"/>
  <c r="AR16" i="2"/>
  <c r="AS16" i="2"/>
  <c r="AT16" i="2"/>
  <c r="AU16" i="2"/>
  <c r="AV16" i="2"/>
  <c r="AW16" i="2"/>
  <c r="AX16" i="2"/>
  <c r="AY16" i="2"/>
  <c r="BA16" i="2"/>
  <c r="BD16" i="2"/>
  <c r="CT16" i="2"/>
  <c r="CU16" i="2"/>
  <c r="CV16" i="2"/>
  <c r="CW16" i="2"/>
  <c r="E17" i="2"/>
  <c r="G17" i="2"/>
  <c r="H17" i="2" s="1"/>
  <c r="AP17" i="2"/>
  <c r="AR17" i="2"/>
  <c r="AS17" i="2"/>
  <c r="AT17" i="2"/>
  <c r="AU17" i="2"/>
  <c r="AV17" i="2"/>
  <c r="AW17" i="2"/>
  <c r="AX17" i="2"/>
  <c r="AY17" i="2"/>
  <c r="BA17" i="2"/>
  <c r="BD17" i="2"/>
  <c r="CT17" i="2"/>
  <c r="CU17" i="2"/>
  <c r="CV17" i="2"/>
  <c r="CW17" i="2"/>
  <c r="E18" i="2"/>
  <c r="G18" i="2"/>
  <c r="H18" i="2"/>
  <c r="AP18" i="2"/>
  <c r="AR18" i="2"/>
  <c r="AS18" i="2"/>
  <c r="AT18" i="2"/>
  <c r="AU18" i="2"/>
  <c r="AV18" i="2"/>
  <c r="AW18" i="2"/>
  <c r="AX18" i="2"/>
  <c r="AY18" i="2"/>
  <c r="BA18" i="2"/>
  <c r="BD18" i="2"/>
  <c r="CT18" i="2"/>
  <c r="CX18" i="2" s="1"/>
  <c r="CU18" i="2"/>
  <c r="CV18" i="2"/>
  <c r="CW18" i="2" s="1"/>
  <c r="E19" i="2"/>
  <c r="G19" i="2"/>
  <c r="H19" i="2"/>
  <c r="AP19" i="2"/>
  <c r="AR19" i="2"/>
  <c r="AS19" i="2"/>
  <c r="AT19" i="2"/>
  <c r="AU19" i="2"/>
  <c r="AV19" i="2"/>
  <c r="AW19" i="2"/>
  <c r="AX19" i="2"/>
  <c r="AY19" i="2"/>
  <c r="BA19" i="2"/>
  <c r="BD19" i="2"/>
  <c r="CT19" i="2"/>
  <c r="CU19" i="2"/>
  <c r="CV19" i="2"/>
  <c r="CW19" i="2"/>
  <c r="CX19" i="2"/>
  <c r="E20" i="2"/>
  <c r="G20" i="2"/>
  <c r="H20" i="2"/>
  <c r="AP20" i="2"/>
  <c r="AR20" i="2"/>
  <c r="AS20" i="2"/>
  <c r="AT20" i="2"/>
  <c r="AU20" i="2"/>
  <c r="AV20" i="2"/>
  <c r="AW20" i="2"/>
  <c r="AX20" i="2"/>
  <c r="AY20" i="2"/>
  <c r="BA20" i="2"/>
  <c r="BD20" i="2"/>
  <c r="CT20" i="2"/>
  <c r="CU20" i="2"/>
  <c r="CV20" i="2"/>
  <c r="CW20" i="2"/>
  <c r="CX20" i="2"/>
  <c r="E21" i="2"/>
  <c r="G21" i="2"/>
  <c r="H21" i="2" s="1"/>
  <c r="AP21" i="2"/>
  <c r="AR21" i="2"/>
  <c r="AS21" i="2"/>
  <c r="AT21" i="2"/>
  <c r="AU21" i="2"/>
  <c r="AV21" i="2"/>
  <c r="AW21" i="2"/>
  <c r="AX21" i="2"/>
  <c r="AY21" i="2"/>
  <c r="BA21" i="2"/>
  <c r="BD21" i="2"/>
  <c r="CT21" i="2"/>
  <c r="CU21" i="2"/>
  <c r="CX21" i="2" s="1"/>
  <c r="CV21" i="2"/>
  <c r="CW21" i="2"/>
  <c r="E22" i="2"/>
  <c r="G22" i="2"/>
  <c r="H22" i="2"/>
  <c r="AP22" i="2"/>
  <c r="AR22" i="2"/>
  <c r="AS22" i="2"/>
  <c r="AT22" i="2"/>
  <c r="AU22" i="2"/>
  <c r="AV22" i="2"/>
  <c r="AW22" i="2"/>
  <c r="AX22" i="2"/>
  <c r="AY22" i="2"/>
  <c r="BA22" i="2"/>
  <c r="BD22" i="2"/>
  <c r="CT22" i="2"/>
  <c r="CU22" i="2"/>
  <c r="CV22" i="2"/>
  <c r="CW22" i="2" s="1"/>
  <c r="E23" i="2"/>
  <c r="G23" i="2"/>
  <c r="H23" i="2"/>
  <c r="AP23" i="2"/>
  <c r="AR23" i="2"/>
  <c r="AS23" i="2"/>
  <c r="AT23" i="2"/>
  <c r="AU23" i="2"/>
  <c r="AV23" i="2"/>
  <c r="AW23" i="2"/>
  <c r="AX23" i="2"/>
  <c r="AY23" i="2"/>
  <c r="BA23" i="2"/>
  <c r="BD23" i="2"/>
  <c r="CT23" i="2"/>
  <c r="CU23" i="2"/>
  <c r="CX23" i="2" s="1"/>
  <c r="CV23" i="2"/>
  <c r="CW23" i="2"/>
  <c r="E24" i="2"/>
  <c r="G24" i="2"/>
  <c r="H24" i="2"/>
  <c r="AP24" i="2"/>
  <c r="AR24" i="2"/>
  <c r="AS24" i="2"/>
  <c r="AT24" i="2"/>
  <c r="AU24" i="2"/>
  <c r="AV24" i="2"/>
  <c r="AW24" i="2"/>
  <c r="AX24" i="2"/>
  <c r="AY24" i="2"/>
  <c r="BA24" i="2"/>
  <c r="BD24" i="2"/>
  <c r="CT24" i="2"/>
  <c r="CU24" i="2"/>
  <c r="CV24" i="2"/>
  <c r="CW24" i="2"/>
  <c r="CX24" i="2"/>
  <c r="E25" i="2"/>
  <c r="G25" i="2"/>
  <c r="H25" i="2" s="1"/>
  <c r="AP25" i="2"/>
  <c r="AR25" i="2"/>
  <c r="AS25" i="2"/>
  <c r="AT25" i="2"/>
  <c r="AU25" i="2"/>
  <c r="AV25" i="2"/>
  <c r="AW25" i="2"/>
  <c r="AX25" i="2"/>
  <c r="AY25" i="2"/>
  <c r="BA25" i="2"/>
  <c r="BD25" i="2"/>
  <c r="CT25" i="2"/>
  <c r="CU25" i="2"/>
  <c r="CV25" i="2"/>
  <c r="CW25" i="2" s="1"/>
  <c r="E26" i="2"/>
  <c r="G26" i="2"/>
  <c r="H26" i="2"/>
  <c r="AP26" i="2"/>
  <c r="AR26" i="2"/>
  <c r="AS26" i="2"/>
  <c r="AT26" i="2"/>
  <c r="AU26" i="2"/>
  <c r="AV26" i="2"/>
  <c r="AW26" i="2"/>
  <c r="AX26" i="2"/>
  <c r="AY26" i="2"/>
  <c r="BA26" i="2"/>
  <c r="BD26" i="2"/>
  <c r="CT26" i="2"/>
  <c r="CU26" i="2"/>
  <c r="CV26" i="2"/>
  <c r="CW26" i="2" s="1"/>
  <c r="E27" i="2"/>
  <c r="G27" i="2"/>
  <c r="H27" i="2"/>
  <c r="AP27" i="2"/>
  <c r="AR27" i="2"/>
  <c r="AS27" i="2"/>
  <c r="AT27" i="2"/>
  <c r="AU27" i="2"/>
  <c r="AV27" i="2"/>
  <c r="AW27" i="2"/>
  <c r="AX27" i="2"/>
  <c r="AY27" i="2"/>
  <c r="BA27" i="2"/>
  <c r="BD27" i="2"/>
  <c r="CT27" i="2"/>
  <c r="CU27" i="2"/>
  <c r="CX27" i="2" s="1"/>
  <c r="CV27" i="2"/>
  <c r="CW27" i="2"/>
  <c r="E28" i="2"/>
  <c r="G28" i="2"/>
  <c r="H28" i="2"/>
  <c r="AP28" i="2"/>
  <c r="AR28" i="2"/>
  <c r="AS28" i="2"/>
  <c r="AT28" i="2"/>
  <c r="AU28" i="2"/>
  <c r="AV28" i="2"/>
  <c r="AW28" i="2"/>
  <c r="AX28" i="2"/>
  <c r="AY28" i="2"/>
  <c r="BA28" i="2"/>
  <c r="BD28" i="2"/>
  <c r="CT28" i="2"/>
  <c r="CU28" i="2"/>
  <c r="CV28" i="2"/>
  <c r="E29" i="2"/>
  <c r="G29" i="2"/>
  <c r="H29" i="2" s="1"/>
  <c r="AP29" i="2"/>
  <c r="AR29" i="2"/>
  <c r="AS29" i="2"/>
  <c r="AT29" i="2"/>
  <c r="AU29" i="2"/>
  <c r="AV29" i="2"/>
  <c r="AW29" i="2"/>
  <c r="AX29" i="2"/>
  <c r="AY29" i="2"/>
  <c r="BA29" i="2"/>
  <c r="BD29" i="2"/>
  <c r="CT29" i="2"/>
  <c r="CU29" i="2"/>
  <c r="CV29" i="2"/>
  <c r="CW29" i="2"/>
  <c r="E30" i="2"/>
  <c r="G30" i="2"/>
  <c r="H30" i="2"/>
  <c r="AP30" i="2"/>
  <c r="AR30" i="2"/>
  <c r="AS30" i="2"/>
  <c r="AT30" i="2"/>
  <c r="AU30" i="2"/>
  <c r="AV30" i="2"/>
  <c r="AW30" i="2"/>
  <c r="AX30" i="2"/>
  <c r="AY30" i="2"/>
  <c r="BA30" i="2"/>
  <c r="BD30" i="2"/>
  <c r="CT30" i="2"/>
  <c r="CU30" i="2"/>
  <c r="CV30" i="2"/>
  <c r="CW30" i="2" s="1"/>
  <c r="CX30" i="2"/>
  <c r="E31" i="2"/>
  <c r="G31" i="2"/>
  <c r="H31" i="2" s="1"/>
  <c r="AP31" i="2"/>
  <c r="AR31" i="2"/>
  <c r="AS31" i="2"/>
  <c r="AT31" i="2"/>
  <c r="AU31" i="2"/>
  <c r="AV31" i="2"/>
  <c r="AW31" i="2"/>
  <c r="AX31" i="2"/>
  <c r="AY31" i="2"/>
  <c r="BA31" i="2"/>
  <c r="BD31" i="2"/>
  <c r="CT31" i="2"/>
  <c r="CU31" i="2"/>
  <c r="CV31" i="2"/>
  <c r="CW31" i="2"/>
  <c r="E32" i="2"/>
  <c r="G32" i="2"/>
  <c r="H32" i="2" s="1"/>
  <c r="AP32" i="2"/>
  <c r="AR32" i="2"/>
  <c r="AS32" i="2"/>
  <c r="AT32" i="2"/>
  <c r="AU32" i="2"/>
  <c r="AV32" i="2"/>
  <c r="AW32" i="2"/>
  <c r="AX32" i="2"/>
  <c r="AY32" i="2"/>
  <c r="BA32" i="2"/>
  <c r="BD32" i="2"/>
  <c r="CT32" i="2"/>
  <c r="CU32" i="2"/>
  <c r="CV32" i="2"/>
  <c r="CW32" i="2"/>
  <c r="E33" i="2"/>
  <c r="G33" i="2"/>
  <c r="H33" i="2" s="1"/>
  <c r="AP33" i="2"/>
  <c r="AR33" i="2"/>
  <c r="AS33" i="2"/>
  <c r="AT33" i="2"/>
  <c r="AU33" i="2"/>
  <c r="AV33" i="2"/>
  <c r="AW33" i="2"/>
  <c r="AX33" i="2"/>
  <c r="AY33" i="2"/>
  <c r="BA33" i="2"/>
  <c r="BD33" i="2"/>
  <c r="CT33" i="2"/>
  <c r="CU33" i="2"/>
  <c r="CV33" i="2"/>
  <c r="CW33" i="2"/>
  <c r="E34" i="2"/>
  <c r="G34" i="2"/>
  <c r="H34" i="2"/>
  <c r="AP34" i="2"/>
  <c r="AR34" i="2"/>
  <c r="AS34" i="2"/>
  <c r="AT34" i="2"/>
  <c r="AU34" i="2"/>
  <c r="AV34" i="2"/>
  <c r="AW34" i="2"/>
  <c r="AX34" i="2"/>
  <c r="AY34" i="2"/>
  <c r="BA34" i="2"/>
  <c r="BD34" i="2"/>
  <c r="CT34" i="2"/>
  <c r="CX34" i="2" s="1"/>
  <c r="CU34" i="2"/>
  <c r="CV34" i="2"/>
  <c r="CW34" i="2" s="1"/>
  <c r="E35" i="2"/>
  <c r="G35" i="2"/>
  <c r="H35" i="2"/>
  <c r="AP35" i="2"/>
  <c r="AR35" i="2"/>
  <c r="AS35" i="2"/>
  <c r="AT35" i="2"/>
  <c r="AU35" i="2"/>
  <c r="AV35" i="2"/>
  <c r="AW35" i="2"/>
  <c r="AX35" i="2"/>
  <c r="AY35" i="2"/>
  <c r="BA35" i="2"/>
  <c r="BD35" i="2"/>
  <c r="CT35" i="2"/>
  <c r="CU35" i="2"/>
  <c r="CV35" i="2"/>
  <c r="CW35" i="2"/>
  <c r="CX35" i="2"/>
  <c r="E36" i="2"/>
  <c r="G36" i="2"/>
  <c r="H36" i="2"/>
  <c r="AP36" i="2"/>
  <c r="AR36" i="2"/>
  <c r="AS36" i="2"/>
  <c r="AT36" i="2"/>
  <c r="AU36" i="2"/>
  <c r="AV36" i="2"/>
  <c r="AW36" i="2"/>
  <c r="AX36" i="2"/>
  <c r="AY36" i="2"/>
  <c r="BA36" i="2"/>
  <c r="BD36" i="2"/>
  <c r="CT36" i="2"/>
  <c r="CU36" i="2"/>
  <c r="CV36" i="2"/>
  <c r="CW36" i="2"/>
  <c r="CX36" i="2"/>
  <c r="E37" i="2"/>
  <c r="G37" i="2"/>
  <c r="H37" i="2" s="1"/>
  <c r="AP37" i="2"/>
  <c r="AR37" i="2"/>
  <c r="AS37" i="2"/>
  <c r="AT37" i="2"/>
  <c r="AU37" i="2"/>
  <c r="AW37" i="2"/>
  <c r="AX37" i="2"/>
  <c r="AY37" i="2"/>
  <c r="BA37" i="2"/>
  <c r="BD37" i="2"/>
  <c r="CT37" i="2"/>
  <c r="CU37" i="2"/>
  <c r="CV37" i="2"/>
  <c r="E38" i="2"/>
  <c r="G38" i="2"/>
  <c r="H38" i="2" s="1"/>
  <c r="AP38" i="2"/>
  <c r="AR38" i="2"/>
  <c r="AS38" i="2"/>
  <c r="AT38" i="2"/>
  <c r="AU38" i="2"/>
  <c r="AV38" i="2"/>
  <c r="AW38" i="2"/>
  <c r="AX38" i="2"/>
  <c r="AY38" i="2"/>
  <c r="BA38" i="2"/>
  <c r="BD38" i="2"/>
  <c r="CT38" i="2"/>
  <c r="CU38" i="2"/>
  <c r="CV38" i="2"/>
  <c r="CW38" i="2"/>
  <c r="E39" i="2"/>
  <c r="G39" i="2"/>
  <c r="H39" i="2"/>
  <c r="AP39" i="2"/>
  <c r="AV39" i="2"/>
  <c r="AW39" i="2"/>
  <c r="AX39" i="2"/>
  <c r="AY39" i="2"/>
  <c r="BA39" i="2"/>
  <c r="BD39" i="2"/>
  <c r="CT39" i="2"/>
  <c r="CU39" i="2"/>
  <c r="CV39" i="2"/>
  <c r="CW39" i="2" s="1"/>
  <c r="CX39" i="2"/>
  <c r="E40" i="2"/>
  <c r="G40" i="2"/>
  <c r="H40" i="2" s="1"/>
  <c r="AP40" i="2"/>
  <c r="AR40" i="2"/>
  <c r="AS40" i="2"/>
  <c r="AT40" i="2"/>
  <c r="AU40" i="2"/>
  <c r="AV40" i="2"/>
  <c r="AW40" i="2"/>
  <c r="AX40" i="2"/>
  <c r="AY40" i="2"/>
  <c r="BA40" i="2"/>
  <c r="BD40" i="2"/>
  <c r="CT40" i="2"/>
  <c r="CU40" i="2"/>
  <c r="CX40" i="2" s="1"/>
  <c r="CV40" i="2"/>
  <c r="CW40" i="2"/>
  <c r="E41" i="2"/>
  <c r="G41" i="2"/>
  <c r="H41" i="2" s="1"/>
  <c r="AP41" i="2"/>
  <c r="AR41" i="2"/>
  <c r="AS41" i="2"/>
  <c r="AT41" i="2"/>
  <c r="AU41" i="2"/>
  <c r="AV41" i="2"/>
  <c r="AW41" i="2"/>
  <c r="AX41" i="2"/>
  <c r="AY41" i="2"/>
  <c r="BA41" i="2"/>
  <c r="BD41" i="2"/>
  <c r="CT41" i="2"/>
  <c r="CU41" i="2"/>
  <c r="CV41" i="2"/>
  <c r="CW41" i="2"/>
  <c r="E42" i="2"/>
  <c r="G42" i="2"/>
  <c r="H42" i="2" s="1"/>
  <c r="AP42" i="2"/>
  <c r="AR42" i="2"/>
  <c r="AS42" i="2"/>
  <c r="AT42" i="2"/>
  <c r="AU42" i="2"/>
  <c r="AV42" i="2"/>
  <c r="AW42" i="2"/>
  <c r="AX42" i="2"/>
  <c r="AY42" i="2"/>
  <c r="BA42" i="2"/>
  <c r="BD42" i="2"/>
  <c r="CT42" i="2"/>
  <c r="CU42" i="2"/>
  <c r="CV42" i="2"/>
  <c r="CW42" i="2"/>
  <c r="E43" i="2"/>
  <c r="G43" i="2"/>
  <c r="H43" i="2"/>
  <c r="AP43" i="2"/>
  <c r="AR43" i="2"/>
  <c r="AS43" i="2"/>
  <c r="AT43" i="2"/>
  <c r="AU43" i="2"/>
  <c r="AV43" i="2"/>
  <c r="AW43" i="2"/>
  <c r="AX43" i="2"/>
  <c r="AY43" i="2"/>
  <c r="BA43" i="2"/>
  <c r="BD43" i="2"/>
  <c r="CT43" i="2"/>
  <c r="CX43" i="2" s="1"/>
  <c r="CU43" i="2"/>
  <c r="CV43" i="2"/>
  <c r="CW43" i="2" s="1"/>
  <c r="E44" i="2"/>
  <c r="G44" i="2"/>
  <c r="H44" i="2"/>
  <c r="AP44" i="2"/>
  <c r="AV44" i="2"/>
  <c r="AW44" i="2"/>
  <c r="AX44" i="2"/>
  <c r="AY44" i="2"/>
  <c r="BA44" i="2"/>
  <c r="BD44" i="2"/>
  <c r="CT44" i="2"/>
  <c r="CU44" i="2"/>
  <c r="CV44" i="2"/>
  <c r="CW44" i="2"/>
  <c r="CX44" i="2"/>
  <c r="E45" i="2"/>
  <c r="G45" i="2"/>
  <c r="H45" i="2"/>
  <c r="AP45" i="2"/>
  <c r="AR45" i="2"/>
  <c r="AS45" i="2"/>
  <c r="AT45" i="2"/>
  <c r="AU45" i="2"/>
  <c r="AV45" i="2"/>
  <c r="AW45" i="2"/>
  <c r="AX45" i="2"/>
  <c r="AY45" i="2"/>
  <c r="BA45" i="2"/>
  <c r="BD45" i="2"/>
  <c r="CT45" i="2"/>
  <c r="CU45" i="2"/>
  <c r="CV45" i="2"/>
  <c r="CW45" i="2"/>
  <c r="CX45" i="2"/>
  <c r="E46" i="2"/>
  <c r="G46" i="2"/>
  <c r="H46" i="2" s="1"/>
  <c r="AP46" i="2"/>
  <c r="AR46" i="2"/>
  <c r="AS46" i="2"/>
  <c r="AT46" i="2"/>
  <c r="AU46" i="2"/>
  <c r="AV46" i="2"/>
  <c r="AW46" i="2"/>
  <c r="AX46" i="2"/>
  <c r="AY46" i="2"/>
  <c r="BA46" i="2"/>
  <c r="BD46" i="2"/>
  <c r="CT46" i="2"/>
  <c r="CU46" i="2"/>
  <c r="CX46" i="2" s="1"/>
  <c r="CV46" i="2"/>
  <c r="CW46" i="2"/>
  <c r="E47" i="2"/>
  <c r="G47" i="2"/>
  <c r="H47" i="2"/>
  <c r="AP47" i="2"/>
  <c r="AR47" i="2"/>
  <c r="AS47" i="2"/>
  <c r="AT47" i="2"/>
  <c r="AU47" i="2"/>
  <c r="AV47" i="2"/>
  <c r="AW47" i="2"/>
  <c r="AX47" i="2"/>
  <c r="AY47" i="2"/>
  <c r="BA47" i="2"/>
  <c r="BD47" i="2"/>
  <c r="CT47" i="2"/>
  <c r="CU47" i="2"/>
  <c r="CV47" i="2"/>
  <c r="CW47" i="2" s="1"/>
  <c r="E48" i="2"/>
  <c r="G48" i="2"/>
  <c r="H48" i="2"/>
  <c r="AP48" i="2"/>
  <c r="AR48" i="2"/>
  <c r="AS48" i="2"/>
  <c r="AT48" i="2"/>
  <c r="AU48" i="2"/>
  <c r="AV48" i="2"/>
  <c r="AW48" i="2"/>
  <c r="AX48" i="2"/>
  <c r="AY48" i="2"/>
  <c r="BA48" i="2"/>
  <c r="BD48" i="2"/>
  <c r="CT48" i="2"/>
  <c r="CU48" i="2"/>
  <c r="CX48" i="2" s="1"/>
  <c r="CV48" i="2"/>
  <c r="CW48" i="2"/>
  <c r="E49" i="2"/>
  <c r="AP49" i="2"/>
  <c r="AR49" i="2"/>
  <c r="AS49" i="2"/>
  <c r="AT49" i="2"/>
  <c r="AU49" i="2"/>
  <c r="AV49" i="2"/>
  <c r="AW49" i="2"/>
  <c r="AX49" i="2"/>
  <c r="AY49" i="2"/>
  <c r="BA49" i="2"/>
  <c r="BD49" i="2"/>
  <c r="CT49" i="2"/>
  <c r="CU49" i="2"/>
  <c r="CV49" i="2"/>
  <c r="CW49" i="2" s="1"/>
  <c r="CX49" i="2"/>
  <c r="E50" i="2"/>
  <c r="G50" i="2"/>
  <c r="H50" i="2" s="1"/>
  <c r="AP50" i="2"/>
  <c r="AR50" i="2"/>
  <c r="AS50" i="2"/>
  <c r="AT50" i="2"/>
  <c r="AU50" i="2"/>
  <c r="AV50" i="2"/>
  <c r="AW50" i="2"/>
  <c r="AX50" i="2"/>
  <c r="AY50" i="2"/>
  <c r="BA50" i="2"/>
  <c r="BD50" i="2"/>
  <c r="CT50" i="2"/>
  <c r="CU50" i="2"/>
  <c r="CV50" i="2"/>
  <c r="CW50" i="2"/>
  <c r="E51" i="2"/>
  <c r="G51" i="2"/>
  <c r="H51" i="2" s="1"/>
  <c r="AP51" i="2"/>
  <c r="AR51" i="2"/>
  <c r="AS51" i="2"/>
  <c r="AT51" i="2"/>
  <c r="AU51" i="2"/>
  <c r="AW51" i="2"/>
  <c r="AX51" i="2"/>
  <c r="AY51" i="2"/>
  <c r="BA51" i="2"/>
  <c r="BD51" i="2"/>
  <c r="CT51" i="2"/>
  <c r="CU51" i="2"/>
  <c r="CV51" i="2"/>
  <c r="CW51" i="2"/>
  <c r="CX51" i="2"/>
  <c r="E52" i="2"/>
  <c r="G52" i="2"/>
  <c r="H52" i="2"/>
  <c r="AP52" i="2"/>
  <c r="AR52" i="2"/>
  <c r="AS52" i="2"/>
  <c r="AT52" i="2"/>
  <c r="AU52" i="2"/>
  <c r="AV52" i="2"/>
  <c r="AW52" i="2"/>
  <c r="AX52" i="2"/>
  <c r="AY52" i="2"/>
  <c r="BA52" i="2"/>
  <c r="BD52" i="2"/>
  <c r="CT52" i="2"/>
  <c r="CU52" i="2"/>
  <c r="CV52" i="2"/>
  <c r="CW52" i="2"/>
  <c r="CX52" i="2"/>
  <c r="E53" i="2"/>
  <c r="G53" i="2"/>
  <c r="H53" i="2" s="1"/>
  <c r="AP53" i="2"/>
  <c r="AQ53" i="2"/>
  <c r="AR53" i="2"/>
  <c r="AS53" i="2"/>
  <c r="AT53" i="2"/>
  <c r="AU53" i="2"/>
  <c r="AV53" i="2"/>
  <c r="AW53" i="2"/>
  <c r="AX53" i="2"/>
  <c r="AY53" i="2"/>
  <c r="BA53" i="2"/>
  <c r="BD53" i="2"/>
  <c r="CT53" i="2"/>
  <c r="CX53" i="2" s="1"/>
  <c r="CU53" i="2"/>
  <c r="CV53" i="2"/>
  <c r="CW53" i="2" s="1"/>
  <c r="E54" i="2"/>
  <c r="G54" i="2"/>
  <c r="H54" i="2"/>
  <c r="AP54" i="2"/>
  <c r="AR54" i="2"/>
  <c r="AS54" i="2"/>
  <c r="AT54" i="2"/>
  <c r="AU54" i="2"/>
  <c r="AV54" i="2"/>
  <c r="AW54" i="2"/>
  <c r="AX54" i="2"/>
  <c r="AY54" i="2"/>
  <c r="BA54" i="2"/>
  <c r="BD54" i="2"/>
  <c r="CT54" i="2"/>
  <c r="CU54" i="2"/>
  <c r="CV54" i="2"/>
  <c r="CW54" i="2"/>
  <c r="CX54" i="2"/>
  <c r="E55" i="2"/>
  <c r="G55" i="2"/>
  <c r="H55" i="2"/>
  <c r="AP55" i="2"/>
  <c r="AR55" i="2"/>
  <c r="AS55" i="2"/>
  <c r="AT55" i="2"/>
  <c r="AU55" i="2"/>
  <c r="AV55" i="2"/>
  <c r="AW55" i="2"/>
  <c r="AX55" i="2"/>
  <c r="AY55" i="2"/>
  <c r="BA55" i="2"/>
  <c r="BD55" i="2"/>
  <c r="CT55" i="2"/>
  <c r="CU55" i="2"/>
  <c r="CV55" i="2"/>
  <c r="CW55" i="2"/>
  <c r="CX55" i="2"/>
  <c r="E56" i="2"/>
  <c r="G56" i="2"/>
  <c r="H56" i="2" s="1"/>
  <c r="AP56" i="2"/>
  <c r="AR56" i="2"/>
  <c r="AS56" i="2"/>
  <c r="AT56" i="2"/>
  <c r="AU56" i="2"/>
  <c r="AV56" i="2"/>
  <c r="AW56" i="2"/>
  <c r="AX56" i="2"/>
  <c r="AY56" i="2"/>
  <c r="BA56" i="2"/>
  <c r="BD56" i="2"/>
  <c r="CT56" i="2"/>
  <c r="CU56" i="2"/>
  <c r="CX56" i="2" s="1"/>
  <c r="CV56" i="2"/>
  <c r="CW56" i="2"/>
  <c r="E57" i="2"/>
  <c r="G57" i="2"/>
  <c r="H57" i="2"/>
  <c r="AP57" i="2"/>
  <c r="AR57" i="2"/>
  <c r="AS57" i="2"/>
  <c r="AT57" i="2"/>
  <c r="AU57" i="2"/>
  <c r="AV57" i="2"/>
  <c r="AW57" i="2"/>
  <c r="AX57" i="2"/>
  <c r="AY57" i="2"/>
  <c r="BA57" i="2"/>
  <c r="BD57" i="2"/>
  <c r="CT57" i="2"/>
  <c r="CU57" i="2"/>
  <c r="CV57" i="2"/>
  <c r="CW57" i="2" s="1"/>
  <c r="E58" i="2"/>
  <c r="G58" i="2"/>
  <c r="H58" i="2"/>
  <c r="AP58" i="2"/>
  <c r="AR58" i="2"/>
  <c r="AS58" i="2"/>
  <c r="AT58" i="2"/>
  <c r="AU58" i="2"/>
  <c r="AV58" i="2"/>
  <c r="AW58" i="2"/>
  <c r="AX58" i="2"/>
  <c r="AY58" i="2"/>
  <c r="BA58" i="2"/>
  <c r="BD58" i="2"/>
  <c r="CT58" i="2"/>
  <c r="CU58" i="2"/>
  <c r="CX58" i="2" s="1"/>
  <c r="CV58" i="2"/>
  <c r="CW58" i="2"/>
  <c r="E59" i="2"/>
  <c r="G59" i="2"/>
  <c r="H59" i="2"/>
  <c r="AP59" i="2"/>
  <c r="AR59" i="2"/>
  <c r="AS59" i="2"/>
  <c r="AT59" i="2"/>
  <c r="AU59" i="2"/>
  <c r="AV59" i="2"/>
  <c r="AW59" i="2"/>
  <c r="AX59" i="2"/>
  <c r="AY59" i="2"/>
  <c r="BA59" i="2"/>
  <c r="BD59" i="2"/>
  <c r="CT59" i="2"/>
  <c r="CU59" i="2"/>
  <c r="CV59" i="2"/>
  <c r="CW59" i="2"/>
  <c r="CX59" i="2"/>
  <c r="E60" i="2"/>
  <c r="G60" i="2"/>
  <c r="H60" i="2" s="1"/>
  <c r="AP60" i="2"/>
  <c r="AR60" i="2"/>
  <c r="AS60" i="2"/>
  <c r="AT60" i="2"/>
  <c r="AU60" i="2"/>
  <c r="AV60" i="2"/>
  <c r="AW60" i="2"/>
  <c r="AX60" i="2"/>
  <c r="AY60" i="2"/>
  <c r="BA60" i="2"/>
  <c r="BD60" i="2"/>
  <c r="CT60" i="2"/>
  <c r="CU60" i="2"/>
  <c r="CV60" i="2"/>
  <c r="CW60" i="2" s="1"/>
  <c r="E61" i="2"/>
  <c r="G61" i="2"/>
  <c r="H61" i="2"/>
  <c r="AP61" i="2"/>
  <c r="AR61" i="2"/>
  <c r="AS61" i="2"/>
  <c r="AT61" i="2"/>
  <c r="AU61" i="2"/>
  <c r="AV61" i="2"/>
  <c r="AW61" i="2"/>
  <c r="AX61" i="2"/>
  <c r="AY61" i="2"/>
  <c r="BA61" i="2"/>
  <c r="BD61" i="2"/>
  <c r="CT61" i="2"/>
  <c r="CU61" i="2"/>
  <c r="CV61" i="2"/>
  <c r="CW61" i="2" s="1"/>
  <c r="E62" i="2"/>
  <c r="G62" i="2"/>
  <c r="H62" i="2"/>
  <c r="AP62" i="2"/>
  <c r="AV62" i="2"/>
  <c r="AW62" i="2"/>
  <c r="AX62" i="2"/>
  <c r="AY62" i="2"/>
  <c r="BA62" i="2"/>
  <c r="BD62" i="2"/>
  <c r="CT62" i="2"/>
  <c r="CU62" i="2"/>
  <c r="CX62" i="2" s="1"/>
  <c r="CV62" i="2"/>
  <c r="CW62" i="2"/>
  <c r="E63" i="2"/>
  <c r="G63" i="2"/>
  <c r="H63" i="2"/>
  <c r="AP63" i="2"/>
  <c r="AR63" i="2"/>
  <c r="AS63" i="2"/>
  <c r="AT63" i="2"/>
  <c r="AU63" i="2"/>
  <c r="AV63" i="2"/>
  <c r="AW63" i="2"/>
  <c r="AX63" i="2"/>
  <c r="AY63" i="2"/>
  <c r="BA63" i="2"/>
  <c r="BD63" i="2"/>
  <c r="CT63" i="2"/>
  <c r="CU63" i="2"/>
  <c r="CV63" i="2"/>
  <c r="E64" i="2"/>
  <c r="G64" i="2"/>
  <c r="H64" i="2" s="1"/>
  <c r="AP64" i="2"/>
  <c r="AR64" i="2"/>
  <c r="AS64" i="2"/>
  <c r="AT64" i="2"/>
  <c r="AU64" i="2"/>
  <c r="AV64" i="2"/>
  <c r="AW64" i="2"/>
  <c r="AX64" i="2"/>
  <c r="AY64" i="2"/>
  <c r="BA64" i="2"/>
  <c r="BD64" i="2"/>
  <c r="CT64" i="2"/>
  <c r="CU64" i="2"/>
  <c r="CV64" i="2"/>
  <c r="CW64" i="2"/>
  <c r="E65" i="2"/>
  <c r="AP65" i="2"/>
  <c r="AR65" i="2"/>
  <c r="AS65" i="2"/>
  <c r="AT65" i="2"/>
  <c r="AU65" i="2"/>
  <c r="AV65" i="2"/>
  <c r="AW65" i="2"/>
  <c r="AX65" i="2"/>
  <c r="AY65" i="2"/>
  <c r="BA65" i="2"/>
  <c r="BD65" i="2"/>
  <c r="BF65" i="2"/>
  <c r="CT65" i="2"/>
  <c r="CU65" i="2"/>
  <c r="CV65" i="2"/>
  <c r="CW65" i="2"/>
  <c r="E66" i="2"/>
  <c r="G66" i="2"/>
  <c r="H66" i="2"/>
  <c r="AP66" i="2"/>
  <c r="AR66" i="2"/>
  <c r="AS66" i="2"/>
  <c r="AT66" i="2"/>
  <c r="AU66" i="2"/>
  <c r="AV66" i="2"/>
  <c r="AW66" i="2"/>
  <c r="AX66" i="2"/>
  <c r="AY66" i="2"/>
  <c r="BA66" i="2"/>
  <c r="BD66" i="2"/>
  <c r="CT66" i="2"/>
  <c r="CX66" i="2" s="1"/>
  <c r="CU66" i="2"/>
  <c r="CV66" i="2"/>
  <c r="CW66" i="2" s="1"/>
  <c r="E67" i="2"/>
  <c r="G67" i="2"/>
  <c r="H67" i="2"/>
  <c r="AP67" i="2"/>
  <c r="AR67" i="2"/>
  <c r="AS67" i="2"/>
  <c r="AT67" i="2"/>
  <c r="AU67" i="2"/>
  <c r="AV67" i="2"/>
  <c r="AW67" i="2"/>
  <c r="AX67" i="2"/>
  <c r="AY67" i="2"/>
  <c r="BA67" i="2"/>
  <c r="BD67" i="2"/>
  <c r="CT67" i="2"/>
  <c r="CU67" i="2"/>
  <c r="CV67" i="2"/>
  <c r="CW67" i="2"/>
  <c r="CX67" i="2"/>
  <c r="E68" i="2"/>
  <c r="G68" i="2"/>
  <c r="H68" i="2"/>
  <c r="AP68" i="2"/>
  <c r="AR68" i="2"/>
  <c r="AS68" i="2"/>
  <c r="AT68" i="2"/>
  <c r="AU68" i="2"/>
  <c r="AV68" i="2"/>
  <c r="AW68" i="2"/>
  <c r="AX68" i="2"/>
  <c r="AY68" i="2"/>
  <c r="BA68" i="2"/>
  <c r="BD68" i="2"/>
  <c r="CT68" i="2"/>
  <c r="CU68" i="2"/>
  <c r="CV68" i="2"/>
  <c r="CW68" i="2"/>
  <c r="CX68" i="2"/>
  <c r="E69" i="2"/>
  <c r="G69" i="2"/>
  <c r="H69" i="2" s="1"/>
  <c r="AP69" i="2"/>
  <c r="AR69" i="2"/>
  <c r="AS69" i="2"/>
  <c r="AT69" i="2"/>
  <c r="AU69" i="2"/>
  <c r="AV69" i="2"/>
  <c r="AW69" i="2"/>
  <c r="AX69" i="2"/>
  <c r="AY69" i="2"/>
  <c r="BA69" i="2"/>
  <c r="BD69" i="2"/>
  <c r="CT69" i="2"/>
  <c r="CU69" i="2"/>
  <c r="CX69" i="2" s="1"/>
  <c r="CV69" i="2"/>
  <c r="CW69" i="2"/>
  <c r="E70" i="2"/>
  <c r="G70" i="2"/>
  <c r="H70" i="2"/>
  <c r="AP70" i="2"/>
  <c r="AR70" i="2"/>
  <c r="AS70" i="2"/>
  <c r="AT70" i="2"/>
  <c r="AU70" i="2"/>
  <c r="AV70" i="2"/>
  <c r="AW70" i="2"/>
  <c r="AX70" i="2"/>
  <c r="AY70" i="2"/>
  <c r="BA70" i="2"/>
  <c r="BD70" i="2"/>
  <c r="CT70" i="2"/>
  <c r="CU70" i="2"/>
  <c r="CV70" i="2"/>
  <c r="CW70" i="2" s="1"/>
  <c r="E71" i="2"/>
  <c r="G71" i="2"/>
  <c r="H71" i="2"/>
  <c r="AP71" i="2"/>
  <c r="AR71" i="2"/>
  <c r="AS71" i="2"/>
  <c r="AT71" i="2"/>
  <c r="AU71" i="2"/>
  <c r="AV71" i="2"/>
  <c r="AW71" i="2"/>
  <c r="AX71" i="2"/>
  <c r="AY71" i="2"/>
  <c r="BA71" i="2"/>
  <c r="BD71" i="2"/>
  <c r="CT71" i="2"/>
  <c r="CU71" i="2"/>
  <c r="CX71" i="2" s="1"/>
  <c r="CV71" i="2"/>
  <c r="CW71" i="2"/>
  <c r="E72" i="2"/>
  <c r="AP72" i="2"/>
  <c r="AR72" i="2"/>
  <c r="AS72" i="2"/>
  <c r="AT72" i="2"/>
  <c r="AU72" i="2"/>
  <c r="AV72" i="2"/>
  <c r="AW72" i="2"/>
  <c r="AX72" i="2"/>
  <c r="AY72" i="2"/>
  <c r="BA72" i="2"/>
  <c r="BD72" i="2"/>
  <c r="CT72" i="2"/>
  <c r="CU72" i="2"/>
  <c r="CX72" i="2" s="1"/>
  <c r="CV72" i="2"/>
  <c r="CW72" i="2"/>
  <c r="E73" i="2"/>
  <c r="G73" i="2"/>
  <c r="H73" i="2"/>
  <c r="AP73" i="2"/>
  <c r="AR73" i="2"/>
  <c r="AS73" i="2"/>
  <c r="AT73" i="2"/>
  <c r="AU73" i="2"/>
  <c r="AV73" i="2"/>
  <c r="AW73" i="2"/>
  <c r="AX73" i="2"/>
  <c r="AY73" i="2"/>
  <c r="BA73" i="2"/>
  <c r="BD73" i="2"/>
  <c r="CT73" i="2"/>
  <c r="CU73" i="2"/>
  <c r="CV73" i="2"/>
  <c r="CW73" i="2" s="1"/>
  <c r="E74" i="2"/>
  <c r="G74" i="2"/>
  <c r="H74" i="2"/>
  <c r="AP74" i="2"/>
  <c r="AQ74" i="2"/>
  <c r="AR74" i="2"/>
  <c r="AS74" i="2"/>
  <c r="AT74" i="2"/>
  <c r="AU74" i="2"/>
  <c r="AV74" i="2"/>
  <c r="AW74" i="2"/>
  <c r="AX74" i="2"/>
  <c r="AY74" i="2"/>
  <c r="BA74" i="2"/>
  <c r="BD74" i="2"/>
  <c r="CT74" i="2"/>
  <c r="CU74" i="2"/>
  <c r="CV74" i="2"/>
  <c r="CW74" i="2"/>
  <c r="CX74" i="2"/>
  <c r="E75" i="2"/>
  <c r="G75" i="2"/>
  <c r="H75" i="2" s="1"/>
  <c r="AP75" i="2"/>
  <c r="AR75" i="2"/>
  <c r="AS75" i="2"/>
  <c r="AT75" i="2"/>
  <c r="AU75" i="2"/>
  <c r="AV75" i="2"/>
  <c r="AW75" i="2"/>
  <c r="AX75" i="2"/>
  <c r="AY75" i="2"/>
  <c r="BA75" i="2"/>
  <c r="BD75" i="2"/>
  <c r="CT75" i="2"/>
  <c r="CU75" i="2"/>
  <c r="CV75" i="2"/>
  <c r="CW75" i="2" s="1"/>
  <c r="E76" i="2"/>
  <c r="G76" i="2"/>
  <c r="H76" i="2"/>
  <c r="AP76" i="2"/>
  <c r="AR76" i="2"/>
  <c r="AS76" i="2"/>
  <c r="AT76" i="2"/>
  <c r="AU76" i="2"/>
  <c r="AV76" i="2"/>
  <c r="AW76" i="2"/>
  <c r="AX76" i="2"/>
  <c r="AY76" i="2"/>
  <c r="BA76" i="2"/>
  <c r="BD76" i="2"/>
  <c r="CT76" i="2"/>
  <c r="CU76" i="2"/>
  <c r="CV76" i="2"/>
  <c r="CW76" i="2" s="1"/>
  <c r="E77" i="2"/>
  <c r="G77" i="2"/>
  <c r="H77" i="2"/>
  <c r="AP77" i="2"/>
  <c r="AR77" i="2"/>
  <c r="AS77" i="2"/>
  <c r="AT77" i="2"/>
  <c r="AU77" i="2"/>
  <c r="AV77" i="2"/>
  <c r="AW77" i="2"/>
  <c r="AX77" i="2"/>
  <c r="AY77" i="2"/>
  <c r="BA77" i="2"/>
  <c r="BD77" i="2"/>
  <c r="CT77" i="2"/>
  <c r="CU77" i="2"/>
  <c r="CV77" i="2"/>
  <c r="CW77" i="2"/>
  <c r="CX77" i="2"/>
  <c r="E78" i="2"/>
  <c r="G78" i="2"/>
  <c r="H78" i="2"/>
  <c r="AP78" i="2"/>
  <c r="AR78" i="2"/>
  <c r="AS78" i="2"/>
  <c r="AT78" i="2"/>
  <c r="AU78" i="2"/>
  <c r="AV78" i="2"/>
  <c r="AW78" i="2"/>
  <c r="AX78" i="2"/>
  <c r="AY78" i="2"/>
  <c r="BA78" i="2"/>
  <c r="BD78" i="2"/>
  <c r="CT78" i="2"/>
  <c r="CU78" i="2"/>
  <c r="CV78" i="2"/>
  <c r="CW78" i="2"/>
  <c r="CX78" i="2"/>
  <c r="E79" i="2"/>
  <c r="G79" i="2"/>
  <c r="H79" i="2" s="1"/>
  <c r="AP79" i="2"/>
  <c r="AR79" i="2"/>
  <c r="AS79" i="2"/>
  <c r="AT79" i="2"/>
  <c r="AU79" i="2"/>
  <c r="AV79" i="2"/>
  <c r="AW79" i="2"/>
  <c r="AX79" i="2"/>
  <c r="AY79" i="2"/>
  <c r="BA79" i="2"/>
  <c r="BD79" i="2"/>
  <c r="CT79" i="2"/>
  <c r="CU79" i="2"/>
  <c r="CV79" i="2"/>
  <c r="CW79" i="2" s="1"/>
  <c r="E80" i="2"/>
  <c r="G80" i="2"/>
  <c r="H80" i="2"/>
  <c r="AP80" i="2"/>
  <c r="AR80" i="2"/>
  <c r="AS80" i="2"/>
  <c r="AT80" i="2"/>
  <c r="AU80" i="2"/>
  <c r="AV80" i="2"/>
  <c r="AW80" i="2"/>
  <c r="AX80" i="2"/>
  <c r="AY80" i="2"/>
  <c r="BA80" i="2"/>
  <c r="BD80" i="2"/>
  <c r="CT80" i="2"/>
  <c r="CU80" i="2"/>
  <c r="CV80" i="2"/>
  <c r="CW80" i="2" s="1"/>
  <c r="E81" i="2"/>
  <c r="BA81" i="2"/>
  <c r="BD81" i="2"/>
  <c r="CT81" i="2"/>
  <c r="CU81" i="2"/>
  <c r="CV81" i="2"/>
  <c r="CW81" i="2"/>
  <c r="CX81" i="2" s="1"/>
  <c r="E82" i="2"/>
  <c r="G82" i="2"/>
  <c r="H82" i="2" s="1"/>
  <c r="AP82" i="2"/>
  <c r="AR82" i="2"/>
  <c r="AS82" i="2"/>
  <c r="AT82" i="2"/>
  <c r="AU82" i="2"/>
  <c r="AV82" i="2"/>
  <c r="AW82" i="2"/>
  <c r="AX82" i="2"/>
  <c r="AY82" i="2"/>
  <c r="BA82" i="2"/>
  <c r="BD82" i="2"/>
  <c r="CT82" i="2"/>
  <c r="CU82" i="2"/>
  <c r="CX82" i="2" s="1"/>
  <c r="CV82" i="2"/>
  <c r="CW82" i="2"/>
  <c r="E83" i="2"/>
  <c r="G83" i="2"/>
  <c r="H83" i="2"/>
  <c r="AP83" i="2"/>
  <c r="AR83" i="2"/>
  <c r="AS83" i="2"/>
  <c r="AT83" i="2"/>
  <c r="AU83" i="2"/>
  <c r="AV83" i="2"/>
  <c r="AW83" i="2"/>
  <c r="AX83" i="2"/>
  <c r="AY83" i="2"/>
  <c r="BA83" i="2"/>
  <c r="BD83" i="2"/>
  <c r="CT83" i="2"/>
  <c r="CU83" i="2"/>
  <c r="CV83" i="2"/>
  <c r="CW83" i="2" s="1"/>
  <c r="E84" i="2"/>
  <c r="G84" i="2"/>
  <c r="H84" i="2"/>
  <c r="AP84" i="2"/>
  <c r="AR84" i="2"/>
  <c r="AS84" i="2"/>
  <c r="AT84" i="2"/>
  <c r="AU84" i="2"/>
  <c r="AV84" i="2"/>
  <c r="AW84" i="2"/>
  <c r="AX84" i="2"/>
  <c r="AY84" i="2"/>
  <c r="BA84" i="2"/>
  <c r="BD84" i="2"/>
  <c r="CT84" i="2"/>
  <c r="CU84" i="2"/>
  <c r="CX84" i="2" s="1"/>
  <c r="CV84" i="2"/>
  <c r="CW84" i="2"/>
  <c r="E85" i="2"/>
  <c r="G85" i="2"/>
  <c r="H85" i="2" s="1"/>
  <c r="AP85" i="2"/>
  <c r="AR85" i="2"/>
  <c r="AS85" i="2"/>
  <c r="AT85" i="2"/>
  <c r="AU85" i="2"/>
  <c r="AV85" i="2"/>
  <c r="AW85" i="2"/>
  <c r="AX85" i="2"/>
  <c r="AY85" i="2"/>
  <c r="BA85" i="2"/>
  <c r="BD85" i="2"/>
  <c r="CT85" i="2"/>
  <c r="CU85" i="2"/>
  <c r="CV85" i="2"/>
  <c r="CW85" i="2"/>
  <c r="CX85" i="2" s="1"/>
  <c r="E86" i="2"/>
  <c r="G86" i="2"/>
  <c r="H86" i="2" s="1"/>
  <c r="AP86" i="2"/>
  <c r="AR86" i="2"/>
  <c r="AS86" i="2"/>
  <c r="AT86" i="2"/>
  <c r="AU86" i="2"/>
  <c r="AV86" i="2"/>
  <c r="AW86" i="2"/>
  <c r="AX86" i="2"/>
  <c r="AY86" i="2"/>
  <c r="BA86" i="2"/>
  <c r="BD86" i="2"/>
  <c r="CT86" i="2"/>
  <c r="CU86" i="2"/>
  <c r="CX86" i="2" s="1"/>
  <c r="CV86" i="2"/>
  <c r="CW86" i="2"/>
  <c r="E87" i="2"/>
  <c r="AR87" i="2"/>
  <c r="BA87" i="2"/>
  <c r="BD87" i="2"/>
  <c r="CT87" i="2"/>
  <c r="CU87" i="2"/>
  <c r="CV87" i="2"/>
  <c r="CW87" i="2"/>
  <c r="CX87" i="2"/>
  <c r="E88" i="2"/>
  <c r="G88" i="2"/>
  <c r="H88" i="2" s="1"/>
  <c r="AP88" i="2"/>
  <c r="AR88" i="2"/>
  <c r="AS88" i="2"/>
  <c r="AT88" i="2"/>
  <c r="AU88" i="2"/>
  <c r="AV88" i="2"/>
  <c r="AW88" i="2"/>
  <c r="AX88" i="2"/>
  <c r="AY88" i="2"/>
  <c r="BA88" i="2"/>
  <c r="BD88" i="2"/>
  <c r="CT88" i="2"/>
  <c r="CU88" i="2"/>
  <c r="CV88" i="2"/>
  <c r="CW88" i="2" s="1"/>
  <c r="E89" i="2"/>
  <c r="G89" i="2"/>
  <c r="H89" i="2"/>
  <c r="AP89" i="2"/>
  <c r="AQ89" i="2"/>
  <c r="AR89" i="2"/>
  <c r="AS89" i="2"/>
  <c r="AT89" i="2"/>
  <c r="AU89" i="2"/>
  <c r="AV89" i="2"/>
  <c r="AW89" i="2"/>
  <c r="AX89" i="2"/>
  <c r="AY89" i="2"/>
  <c r="BA89" i="2"/>
  <c r="BD89" i="2"/>
  <c r="CT89" i="2"/>
  <c r="CU89" i="2"/>
  <c r="CX89" i="2" s="1"/>
  <c r="CV89" i="2"/>
  <c r="CW89" i="2"/>
  <c r="E90" i="2"/>
  <c r="G90" i="2"/>
  <c r="H90" i="2"/>
  <c r="AP90" i="2"/>
  <c r="AR90" i="2"/>
  <c r="AS90" i="2"/>
  <c r="AT90" i="2"/>
  <c r="AU90" i="2"/>
  <c r="AV90" i="2"/>
  <c r="AW90" i="2"/>
  <c r="AX90" i="2"/>
  <c r="AY90" i="2"/>
  <c r="BA90" i="2"/>
  <c r="BD90" i="2"/>
  <c r="CT90" i="2"/>
  <c r="CU90" i="2"/>
  <c r="CV90" i="2"/>
  <c r="CW90" i="2"/>
  <c r="CX90" i="2"/>
  <c r="AR91" i="2"/>
  <c r="AS91" i="2"/>
  <c r="AT91" i="2"/>
  <c r="AU91" i="2"/>
  <c r="AV91" i="2"/>
  <c r="AW91" i="2"/>
  <c r="AX91" i="2"/>
  <c r="AY91" i="2"/>
  <c r="AR92" i="2"/>
  <c r="AS92" i="2"/>
  <c r="AT92" i="2"/>
  <c r="AU92" i="2"/>
  <c r="AV92" i="2"/>
  <c r="AW92" i="2"/>
  <c r="AX92" i="2"/>
  <c r="AY92" i="2"/>
  <c r="AR93" i="2"/>
  <c r="AS93" i="2"/>
  <c r="AT93" i="2"/>
  <c r="AU93" i="2"/>
  <c r="AR94" i="2"/>
  <c r="AS94" i="2"/>
  <c r="AT94" i="2"/>
  <c r="AU94" i="2"/>
  <c r="AR95" i="2"/>
  <c r="AS95" i="2"/>
  <c r="AT95" i="2"/>
  <c r="AU95" i="2"/>
  <c r="BJ9" i="1"/>
  <c r="BJ8" i="1"/>
  <c r="BK8" i="1" s="1"/>
  <c r="BJ7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5" i="1"/>
  <c r="AT14" i="1"/>
  <c r="AT13" i="1"/>
  <c r="AT12" i="1"/>
  <c r="AT10" i="1"/>
  <c r="AT9" i="1"/>
  <c r="AT8" i="1"/>
  <c r="AT7" i="1"/>
  <c r="AT6" i="1"/>
  <c r="AH49" i="1"/>
  <c r="AG49" i="1"/>
  <c r="AF49" i="1"/>
  <c r="AD49" i="1"/>
  <c r="AC49" i="1"/>
  <c r="AB49" i="1"/>
  <c r="Z49" i="1"/>
  <c r="Y49" i="1"/>
  <c r="X49" i="1"/>
  <c r="V49" i="1"/>
  <c r="U49" i="1"/>
  <c r="T49" i="1"/>
  <c r="R49" i="1"/>
  <c r="Q49" i="1"/>
  <c r="P49" i="1"/>
  <c r="N49" i="1"/>
  <c r="M49" i="1"/>
  <c r="L49" i="1"/>
  <c r="AH48" i="1"/>
  <c r="AG48" i="1"/>
  <c r="AF48" i="1"/>
  <c r="AD48" i="1"/>
  <c r="AC48" i="1"/>
  <c r="AB48" i="1"/>
  <c r="Z48" i="1"/>
  <c r="Y48" i="1"/>
  <c r="X48" i="1"/>
  <c r="V48" i="1"/>
  <c r="U48" i="1"/>
  <c r="T48" i="1"/>
  <c r="R48" i="1"/>
  <c r="Q48" i="1"/>
  <c r="P48" i="1"/>
  <c r="N48" i="1"/>
  <c r="M48" i="1"/>
  <c r="L48" i="1"/>
  <c r="AH47" i="1"/>
  <c r="AG47" i="1"/>
  <c r="AF47" i="1"/>
  <c r="AD47" i="1"/>
  <c r="AC47" i="1"/>
  <c r="AB47" i="1"/>
  <c r="Z47" i="1"/>
  <c r="Y47" i="1"/>
  <c r="X47" i="1"/>
  <c r="V47" i="1"/>
  <c r="U47" i="1"/>
  <c r="T47" i="1"/>
  <c r="R47" i="1"/>
  <c r="Q47" i="1"/>
  <c r="P47" i="1"/>
  <c r="N47" i="1"/>
  <c r="M47" i="1"/>
  <c r="L47" i="1"/>
  <c r="AH46" i="1"/>
  <c r="AG46" i="1"/>
  <c r="AF46" i="1"/>
  <c r="AD46" i="1"/>
  <c r="AC46" i="1"/>
  <c r="AB46" i="1"/>
  <c r="Z46" i="1"/>
  <c r="Y46" i="1"/>
  <c r="X46" i="1"/>
  <c r="V46" i="1"/>
  <c r="U46" i="1"/>
  <c r="T46" i="1"/>
  <c r="R46" i="1"/>
  <c r="Q46" i="1"/>
  <c r="P46" i="1"/>
  <c r="N46" i="1"/>
  <c r="M46" i="1"/>
  <c r="L46" i="1"/>
  <c r="AH45" i="1"/>
  <c r="AG45" i="1"/>
  <c r="AF45" i="1"/>
  <c r="AD45" i="1"/>
  <c r="AC45" i="1"/>
  <c r="AB45" i="1"/>
  <c r="Z45" i="1"/>
  <c r="Y45" i="1"/>
  <c r="X45" i="1"/>
  <c r="V45" i="1"/>
  <c r="U45" i="1"/>
  <c r="T45" i="1"/>
  <c r="R45" i="1"/>
  <c r="Q45" i="1"/>
  <c r="P45" i="1"/>
  <c r="N45" i="1"/>
  <c r="M45" i="1"/>
  <c r="L45" i="1"/>
  <c r="AH44" i="1"/>
  <c r="AG44" i="1"/>
  <c r="AF44" i="1"/>
  <c r="AD44" i="1"/>
  <c r="AC44" i="1"/>
  <c r="AB44" i="1"/>
  <c r="Z44" i="1"/>
  <c r="Y44" i="1"/>
  <c r="X44" i="1"/>
  <c r="V44" i="1"/>
  <c r="U44" i="1"/>
  <c r="T44" i="1"/>
  <c r="R44" i="1"/>
  <c r="Q44" i="1"/>
  <c r="P44" i="1"/>
  <c r="N44" i="1"/>
  <c r="M44" i="1"/>
  <c r="L44" i="1"/>
  <c r="AH43" i="1"/>
  <c r="AG43" i="1"/>
  <c r="AF43" i="1"/>
  <c r="AD43" i="1"/>
  <c r="AC43" i="1"/>
  <c r="AB43" i="1"/>
  <c r="Z43" i="1"/>
  <c r="Y43" i="1"/>
  <c r="X43" i="1"/>
  <c r="V43" i="1"/>
  <c r="U43" i="1"/>
  <c r="T43" i="1"/>
  <c r="R43" i="1"/>
  <c r="Q43" i="1"/>
  <c r="P43" i="1"/>
  <c r="N43" i="1"/>
  <c r="M43" i="1"/>
  <c r="L43" i="1"/>
  <c r="AH42" i="1"/>
  <c r="AG42" i="1"/>
  <c r="AF42" i="1"/>
  <c r="AD42" i="1"/>
  <c r="AC42" i="1"/>
  <c r="AB42" i="1"/>
  <c r="Z42" i="1"/>
  <c r="Y42" i="1"/>
  <c r="X42" i="1"/>
  <c r="V42" i="1"/>
  <c r="U42" i="1"/>
  <c r="T42" i="1"/>
  <c r="R42" i="1"/>
  <c r="Q42" i="1"/>
  <c r="P42" i="1"/>
  <c r="N42" i="1"/>
  <c r="M42" i="1"/>
  <c r="L42" i="1"/>
  <c r="AH41" i="1"/>
  <c r="AG41" i="1"/>
  <c r="AF41" i="1"/>
  <c r="AD41" i="1"/>
  <c r="AC41" i="1"/>
  <c r="AB41" i="1"/>
  <c r="Z41" i="1"/>
  <c r="Y41" i="1"/>
  <c r="X41" i="1"/>
  <c r="V41" i="1"/>
  <c r="U41" i="1"/>
  <c r="T41" i="1"/>
  <c r="R41" i="1"/>
  <c r="Q41" i="1"/>
  <c r="P41" i="1"/>
  <c r="N41" i="1"/>
  <c r="M41" i="1"/>
  <c r="L41" i="1"/>
  <c r="AH40" i="1"/>
  <c r="AG40" i="1"/>
  <c r="AF40" i="1"/>
  <c r="AD40" i="1"/>
  <c r="AC40" i="1"/>
  <c r="AB40" i="1"/>
  <c r="Z40" i="1"/>
  <c r="Y40" i="1"/>
  <c r="X40" i="1"/>
  <c r="V40" i="1"/>
  <c r="U40" i="1"/>
  <c r="T40" i="1"/>
  <c r="R40" i="1"/>
  <c r="Q40" i="1"/>
  <c r="P40" i="1"/>
  <c r="N40" i="1"/>
  <c r="M40" i="1"/>
  <c r="L40" i="1"/>
  <c r="AH39" i="1"/>
  <c r="AG39" i="1"/>
  <c r="AF39" i="1"/>
  <c r="AD39" i="1"/>
  <c r="AC39" i="1"/>
  <c r="AB39" i="1"/>
  <c r="Z39" i="1"/>
  <c r="Y39" i="1"/>
  <c r="X39" i="1"/>
  <c r="V39" i="1"/>
  <c r="U39" i="1"/>
  <c r="T39" i="1"/>
  <c r="R39" i="1"/>
  <c r="Q39" i="1"/>
  <c r="P39" i="1"/>
  <c r="N39" i="1"/>
  <c r="M39" i="1"/>
  <c r="L39" i="1"/>
  <c r="AH38" i="1"/>
  <c r="AG38" i="1"/>
  <c r="AF38" i="1"/>
  <c r="AD38" i="1"/>
  <c r="AC38" i="1"/>
  <c r="AB38" i="1"/>
  <c r="Z38" i="1"/>
  <c r="Y38" i="1"/>
  <c r="X38" i="1"/>
  <c r="V38" i="1"/>
  <c r="U38" i="1"/>
  <c r="T38" i="1"/>
  <c r="R38" i="1"/>
  <c r="Q38" i="1"/>
  <c r="P38" i="1"/>
  <c r="N38" i="1"/>
  <c r="M38" i="1"/>
  <c r="L38" i="1"/>
  <c r="AH37" i="1"/>
  <c r="AG37" i="1"/>
  <c r="AF37" i="1"/>
  <c r="AD37" i="1"/>
  <c r="AC37" i="1"/>
  <c r="AB37" i="1"/>
  <c r="Z37" i="1"/>
  <c r="Y37" i="1"/>
  <c r="X37" i="1"/>
  <c r="V37" i="1"/>
  <c r="U37" i="1"/>
  <c r="T37" i="1"/>
  <c r="R37" i="1"/>
  <c r="Q37" i="1"/>
  <c r="P37" i="1"/>
  <c r="N37" i="1"/>
  <c r="M37" i="1"/>
  <c r="L37" i="1"/>
  <c r="AH36" i="1"/>
  <c r="AG36" i="1"/>
  <c r="AF36" i="1"/>
  <c r="AD36" i="1"/>
  <c r="AC36" i="1"/>
  <c r="AB36" i="1"/>
  <c r="Z36" i="1"/>
  <c r="Y36" i="1"/>
  <c r="X36" i="1"/>
  <c r="V36" i="1"/>
  <c r="U36" i="1"/>
  <c r="T36" i="1"/>
  <c r="R36" i="1"/>
  <c r="Q36" i="1"/>
  <c r="P36" i="1"/>
  <c r="N36" i="1"/>
  <c r="M36" i="1"/>
  <c r="L36" i="1"/>
  <c r="AH35" i="1"/>
  <c r="AG35" i="1"/>
  <c r="AF35" i="1"/>
  <c r="AD35" i="1"/>
  <c r="AC35" i="1"/>
  <c r="AB35" i="1"/>
  <c r="Z35" i="1"/>
  <c r="Y35" i="1"/>
  <c r="X35" i="1"/>
  <c r="V35" i="1"/>
  <c r="U35" i="1"/>
  <c r="T35" i="1"/>
  <c r="R35" i="1"/>
  <c r="Q35" i="1"/>
  <c r="P35" i="1"/>
  <c r="N35" i="1"/>
  <c r="M35" i="1"/>
  <c r="L35" i="1"/>
  <c r="AH34" i="1"/>
  <c r="AG34" i="1"/>
  <c r="AF34" i="1"/>
  <c r="AD34" i="1"/>
  <c r="AC34" i="1"/>
  <c r="AB34" i="1"/>
  <c r="Z34" i="1"/>
  <c r="Y34" i="1"/>
  <c r="X34" i="1"/>
  <c r="V34" i="1"/>
  <c r="U34" i="1"/>
  <c r="T34" i="1"/>
  <c r="R34" i="1"/>
  <c r="Q34" i="1"/>
  <c r="P34" i="1"/>
  <c r="N34" i="1"/>
  <c r="M34" i="1"/>
  <c r="L34" i="1"/>
  <c r="AH33" i="1"/>
  <c r="AG33" i="1"/>
  <c r="AF33" i="1"/>
  <c r="AD33" i="1"/>
  <c r="AC33" i="1"/>
  <c r="AB33" i="1"/>
  <c r="Z33" i="1"/>
  <c r="Y33" i="1"/>
  <c r="X33" i="1"/>
  <c r="V33" i="1"/>
  <c r="U33" i="1"/>
  <c r="T33" i="1"/>
  <c r="R33" i="1"/>
  <c r="Q33" i="1"/>
  <c r="P33" i="1"/>
  <c r="N33" i="1"/>
  <c r="M33" i="1"/>
  <c r="L33" i="1"/>
  <c r="AH32" i="1"/>
  <c r="AG32" i="1"/>
  <c r="AF32" i="1"/>
  <c r="AD32" i="1"/>
  <c r="AC32" i="1"/>
  <c r="AB32" i="1"/>
  <c r="Z32" i="1"/>
  <c r="Y32" i="1"/>
  <c r="X32" i="1"/>
  <c r="V32" i="1"/>
  <c r="U32" i="1"/>
  <c r="T32" i="1"/>
  <c r="R32" i="1"/>
  <c r="Q32" i="1"/>
  <c r="P32" i="1"/>
  <c r="N32" i="1"/>
  <c r="M32" i="1"/>
  <c r="L32" i="1"/>
  <c r="AH31" i="1"/>
  <c r="AG31" i="1"/>
  <c r="AF31" i="1"/>
  <c r="AD31" i="1"/>
  <c r="AC31" i="1"/>
  <c r="AB31" i="1"/>
  <c r="Z31" i="1"/>
  <c r="Y31" i="1"/>
  <c r="X31" i="1"/>
  <c r="V31" i="1"/>
  <c r="U31" i="1"/>
  <c r="T31" i="1"/>
  <c r="R31" i="1"/>
  <c r="Q31" i="1"/>
  <c r="P31" i="1"/>
  <c r="N31" i="1"/>
  <c r="M31" i="1"/>
  <c r="L31" i="1"/>
  <c r="AH30" i="1"/>
  <c r="AG30" i="1"/>
  <c r="AF30" i="1"/>
  <c r="AD30" i="1"/>
  <c r="AC30" i="1"/>
  <c r="AB30" i="1"/>
  <c r="Z30" i="1"/>
  <c r="Y30" i="1"/>
  <c r="X30" i="1"/>
  <c r="V30" i="1"/>
  <c r="U30" i="1"/>
  <c r="T30" i="1"/>
  <c r="R30" i="1"/>
  <c r="Q30" i="1"/>
  <c r="P30" i="1"/>
  <c r="N30" i="1"/>
  <c r="M30" i="1"/>
  <c r="L30" i="1"/>
  <c r="AH29" i="1"/>
  <c r="AG29" i="1"/>
  <c r="AF29" i="1"/>
  <c r="AD29" i="1"/>
  <c r="AC29" i="1"/>
  <c r="AB29" i="1"/>
  <c r="Z29" i="1"/>
  <c r="Y29" i="1"/>
  <c r="X29" i="1"/>
  <c r="V29" i="1"/>
  <c r="U29" i="1"/>
  <c r="T29" i="1"/>
  <c r="R29" i="1"/>
  <c r="Q29" i="1"/>
  <c r="P29" i="1"/>
  <c r="N29" i="1"/>
  <c r="M29" i="1"/>
  <c r="L29" i="1"/>
  <c r="AH28" i="1"/>
  <c r="AG28" i="1"/>
  <c r="AF28" i="1"/>
  <c r="AD28" i="1"/>
  <c r="AC28" i="1"/>
  <c r="AB28" i="1"/>
  <c r="Z28" i="1"/>
  <c r="Y28" i="1"/>
  <c r="X28" i="1"/>
  <c r="V28" i="1"/>
  <c r="U28" i="1"/>
  <c r="T28" i="1"/>
  <c r="R28" i="1"/>
  <c r="Q28" i="1"/>
  <c r="P28" i="1"/>
  <c r="N28" i="1"/>
  <c r="M28" i="1"/>
  <c r="L28" i="1"/>
  <c r="AH27" i="1"/>
  <c r="AG27" i="1"/>
  <c r="AF27" i="1"/>
  <c r="AD27" i="1"/>
  <c r="AC27" i="1"/>
  <c r="AB27" i="1"/>
  <c r="Z27" i="1"/>
  <c r="Y27" i="1"/>
  <c r="X27" i="1"/>
  <c r="V27" i="1"/>
  <c r="U27" i="1"/>
  <c r="T27" i="1"/>
  <c r="R27" i="1"/>
  <c r="Q27" i="1"/>
  <c r="P27" i="1"/>
  <c r="N27" i="1"/>
  <c r="M27" i="1"/>
  <c r="L27" i="1"/>
  <c r="AH26" i="1"/>
  <c r="AG26" i="1"/>
  <c r="AF26" i="1"/>
  <c r="AD26" i="1"/>
  <c r="AC26" i="1"/>
  <c r="AB26" i="1"/>
  <c r="Z26" i="1"/>
  <c r="Y26" i="1"/>
  <c r="X26" i="1"/>
  <c r="V26" i="1"/>
  <c r="U26" i="1"/>
  <c r="T26" i="1"/>
  <c r="R26" i="1"/>
  <c r="Q26" i="1"/>
  <c r="P26" i="1"/>
  <c r="N26" i="1"/>
  <c r="M26" i="1"/>
  <c r="L26" i="1"/>
  <c r="AH25" i="1"/>
  <c r="AG25" i="1"/>
  <c r="AF25" i="1"/>
  <c r="AD25" i="1"/>
  <c r="AC25" i="1"/>
  <c r="AB25" i="1"/>
  <c r="Z25" i="1"/>
  <c r="Y25" i="1"/>
  <c r="X25" i="1"/>
  <c r="V25" i="1"/>
  <c r="U25" i="1"/>
  <c r="T25" i="1"/>
  <c r="R25" i="1"/>
  <c r="Q25" i="1"/>
  <c r="P25" i="1"/>
  <c r="N25" i="1"/>
  <c r="M25" i="1"/>
  <c r="L25" i="1"/>
  <c r="AH24" i="1"/>
  <c r="AG24" i="1"/>
  <c r="AF24" i="1"/>
  <c r="AD24" i="1"/>
  <c r="AC24" i="1"/>
  <c r="AB24" i="1"/>
  <c r="Z24" i="1"/>
  <c r="Y24" i="1"/>
  <c r="X24" i="1"/>
  <c r="V24" i="1"/>
  <c r="U24" i="1"/>
  <c r="T24" i="1"/>
  <c r="R24" i="1"/>
  <c r="Q24" i="1"/>
  <c r="P24" i="1"/>
  <c r="N24" i="1"/>
  <c r="M24" i="1"/>
  <c r="L24" i="1"/>
  <c r="AH23" i="1"/>
  <c r="AG23" i="1"/>
  <c r="AF23" i="1"/>
  <c r="AD23" i="1"/>
  <c r="AC23" i="1"/>
  <c r="AB23" i="1"/>
  <c r="Z23" i="1"/>
  <c r="Y23" i="1"/>
  <c r="X23" i="1"/>
  <c r="V23" i="1"/>
  <c r="U23" i="1"/>
  <c r="T23" i="1"/>
  <c r="R23" i="1"/>
  <c r="Q23" i="1"/>
  <c r="P23" i="1"/>
  <c r="N23" i="1"/>
  <c r="M23" i="1"/>
  <c r="L23" i="1"/>
  <c r="AH22" i="1"/>
  <c r="AG22" i="1"/>
  <c r="AF22" i="1"/>
  <c r="AD22" i="1"/>
  <c r="AC22" i="1"/>
  <c r="AB22" i="1"/>
  <c r="Z22" i="1"/>
  <c r="Y22" i="1"/>
  <c r="X22" i="1"/>
  <c r="V22" i="1"/>
  <c r="U22" i="1"/>
  <c r="T22" i="1"/>
  <c r="R22" i="1"/>
  <c r="Q22" i="1"/>
  <c r="P22" i="1"/>
  <c r="N22" i="1"/>
  <c r="M22" i="1"/>
  <c r="L22" i="1"/>
  <c r="AH21" i="1"/>
  <c r="AG21" i="1"/>
  <c r="AF21" i="1"/>
  <c r="AD21" i="1"/>
  <c r="AC21" i="1"/>
  <c r="AB21" i="1"/>
  <c r="Z21" i="1"/>
  <c r="Y21" i="1"/>
  <c r="X21" i="1"/>
  <c r="V21" i="1"/>
  <c r="U21" i="1"/>
  <c r="T21" i="1"/>
  <c r="R21" i="1"/>
  <c r="Q21" i="1"/>
  <c r="P21" i="1"/>
  <c r="N21" i="1"/>
  <c r="M21" i="1"/>
  <c r="L21" i="1"/>
  <c r="AH20" i="1"/>
  <c r="AG20" i="1"/>
  <c r="AF20" i="1"/>
  <c r="AD20" i="1"/>
  <c r="AC20" i="1"/>
  <c r="AB20" i="1"/>
  <c r="Z20" i="1"/>
  <c r="Y20" i="1"/>
  <c r="X20" i="1"/>
  <c r="V20" i="1"/>
  <c r="U20" i="1"/>
  <c r="T20" i="1"/>
  <c r="R20" i="1"/>
  <c r="Q20" i="1"/>
  <c r="P20" i="1"/>
  <c r="N20" i="1"/>
  <c r="M20" i="1"/>
  <c r="L20" i="1"/>
  <c r="AH19" i="1"/>
  <c r="AG19" i="1"/>
  <c r="AF19" i="1"/>
  <c r="AD19" i="1"/>
  <c r="AC19" i="1"/>
  <c r="AB19" i="1"/>
  <c r="Z19" i="1"/>
  <c r="Y19" i="1"/>
  <c r="X19" i="1"/>
  <c r="V19" i="1"/>
  <c r="U19" i="1"/>
  <c r="T19" i="1"/>
  <c r="R19" i="1"/>
  <c r="Q19" i="1"/>
  <c r="P19" i="1"/>
  <c r="N19" i="1"/>
  <c r="M19" i="1"/>
  <c r="L19" i="1"/>
  <c r="AH18" i="1"/>
  <c r="AG18" i="1"/>
  <c r="AF18" i="1"/>
  <c r="AD18" i="1"/>
  <c r="AC18" i="1"/>
  <c r="AB18" i="1"/>
  <c r="Z18" i="1"/>
  <c r="Y18" i="1"/>
  <c r="X18" i="1"/>
  <c r="V18" i="1"/>
  <c r="U18" i="1"/>
  <c r="T18" i="1"/>
  <c r="R18" i="1"/>
  <c r="Q18" i="1"/>
  <c r="P18" i="1"/>
  <c r="N18" i="1"/>
  <c r="M18" i="1"/>
  <c r="L18" i="1"/>
  <c r="AH17" i="1"/>
  <c r="AG17" i="1"/>
  <c r="AF17" i="1"/>
  <c r="AD17" i="1"/>
  <c r="AC17" i="1"/>
  <c r="AB17" i="1"/>
  <c r="Z17" i="1"/>
  <c r="Y17" i="1"/>
  <c r="X17" i="1"/>
  <c r="V17" i="1"/>
  <c r="U17" i="1"/>
  <c r="T17" i="1"/>
  <c r="R17" i="1"/>
  <c r="Q17" i="1"/>
  <c r="P17" i="1"/>
  <c r="N17" i="1"/>
  <c r="M17" i="1"/>
  <c r="L17" i="1"/>
  <c r="AH15" i="1"/>
  <c r="AG15" i="1"/>
  <c r="AF15" i="1"/>
  <c r="AD15" i="1"/>
  <c r="AC15" i="1"/>
  <c r="AB15" i="1"/>
  <c r="Z15" i="1"/>
  <c r="Y15" i="1"/>
  <c r="X15" i="1"/>
  <c r="V15" i="1"/>
  <c r="U15" i="1"/>
  <c r="T15" i="1"/>
  <c r="R15" i="1"/>
  <c r="Q15" i="1"/>
  <c r="P15" i="1"/>
  <c r="N15" i="1"/>
  <c r="M15" i="1"/>
  <c r="L15" i="1"/>
  <c r="AH14" i="1"/>
  <c r="AG14" i="1"/>
  <c r="AF14" i="1"/>
  <c r="AD14" i="1"/>
  <c r="AC14" i="1"/>
  <c r="AB14" i="1"/>
  <c r="Z14" i="1"/>
  <c r="Y14" i="1"/>
  <c r="X14" i="1"/>
  <c r="V14" i="1"/>
  <c r="U14" i="1"/>
  <c r="T14" i="1"/>
  <c r="R14" i="1"/>
  <c r="Q14" i="1"/>
  <c r="P14" i="1"/>
  <c r="N14" i="1"/>
  <c r="M14" i="1"/>
  <c r="L14" i="1"/>
  <c r="AH13" i="1"/>
  <c r="AG13" i="1"/>
  <c r="AF13" i="1"/>
  <c r="AD13" i="1"/>
  <c r="AC13" i="1"/>
  <c r="AB13" i="1"/>
  <c r="Z13" i="1"/>
  <c r="Y13" i="1"/>
  <c r="X13" i="1"/>
  <c r="V13" i="1"/>
  <c r="U13" i="1"/>
  <c r="T13" i="1"/>
  <c r="R13" i="1"/>
  <c r="Q13" i="1"/>
  <c r="P13" i="1"/>
  <c r="N13" i="1"/>
  <c r="M13" i="1"/>
  <c r="L13" i="1"/>
  <c r="AH12" i="1"/>
  <c r="AG12" i="1"/>
  <c r="AF12" i="1"/>
  <c r="AD12" i="1"/>
  <c r="AC12" i="1"/>
  <c r="AB12" i="1"/>
  <c r="Z12" i="1"/>
  <c r="Y12" i="1"/>
  <c r="X12" i="1"/>
  <c r="V12" i="1"/>
  <c r="U12" i="1"/>
  <c r="T12" i="1"/>
  <c r="R12" i="1"/>
  <c r="Q12" i="1"/>
  <c r="P12" i="1"/>
  <c r="N12" i="1"/>
  <c r="M12" i="1"/>
  <c r="L12" i="1"/>
  <c r="AH10" i="1"/>
  <c r="AG10" i="1"/>
  <c r="AF10" i="1"/>
  <c r="AD10" i="1"/>
  <c r="AC10" i="1"/>
  <c r="AB10" i="1"/>
  <c r="Z10" i="1"/>
  <c r="Y10" i="1"/>
  <c r="X10" i="1"/>
  <c r="V10" i="1"/>
  <c r="U10" i="1"/>
  <c r="T10" i="1"/>
  <c r="R10" i="1"/>
  <c r="Q10" i="1"/>
  <c r="P10" i="1"/>
  <c r="N10" i="1"/>
  <c r="M10" i="1"/>
  <c r="L10" i="1"/>
  <c r="AH9" i="1"/>
  <c r="AG9" i="1"/>
  <c r="AF9" i="1"/>
  <c r="AD9" i="1"/>
  <c r="AC9" i="1"/>
  <c r="AB9" i="1"/>
  <c r="Z9" i="1"/>
  <c r="Y9" i="1"/>
  <c r="X9" i="1"/>
  <c r="V9" i="1"/>
  <c r="U9" i="1"/>
  <c r="T9" i="1"/>
  <c r="R9" i="1"/>
  <c r="Q9" i="1"/>
  <c r="P9" i="1"/>
  <c r="N9" i="1"/>
  <c r="M9" i="1"/>
  <c r="L9" i="1"/>
  <c r="AH8" i="1"/>
  <c r="AG8" i="1"/>
  <c r="AF8" i="1"/>
  <c r="AD8" i="1"/>
  <c r="AC8" i="1"/>
  <c r="AB8" i="1"/>
  <c r="Z8" i="1"/>
  <c r="Y8" i="1"/>
  <c r="X8" i="1"/>
  <c r="V8" i="1"/>
  <c r="U8" i="1"/>
  <c r="T8" i="1"/>
  <c r="R8" i="1"/>
  <c r="Q8" i="1"/>
  <c r="P8" i="1"/>
  <c r="N8" i="1"/>
  <c r="M8" i="1"/>
  <c r="L8" i="1"/>
  <c r="AH7" i="1"/>
  <c r="AG7" i="1"/>
  <c r="AF7" i="1"/>
  <c r="AD7" i="1"/>
  <c r="AC7" i="1"/>
  <c r="AB7" i="1"/>
  <c r="Z7" i="1"/>
  <c r="Y7" i="1"/>
  <c r="X7" i="1"/>
  <c r="V7" i="1"/>
  <c r="U7" i="1"/>
  <c r="T7" i="1"/>
  <c r="R7" i="1"/>
  <c r="Q7" i="1"/>
  <c r="P7" i="1"/>
  <c r="N7" i="1"/>
  <c r="M7" i="1"/>
  <c r="L7" i="1"/>
  <c r="AH6" i="1"/>
  <c r="AG6" i="1"/>
  <c r="AF6" i="1"/>
  <c r="AD6" i="1"/>
  <c r="AC6" i="1"/>
  <c r="AB6" i="1"/>
  <c r="Z6" i="1"/>
  <c r="Y6" i="1"/>
  <c r="X6" i="1"/>
  <c r="V6" i="1"/>
  <c r="U6" i="1"/>
  <c r="T6" i="1"/>
  <c r="R6" i="1"/>
  <c r="Q6" i="1"/>
  <c r="P6" i="1"/>
  <c r="N6" i="1"/>
  <c r="M6" i="1"/>
  <c r="L6" i="1"/>
  <c r="BK7" i="1" l="1"/>
  <c r="P64" i="1"/>
  <c r="U64" i="1"/>
  <c r="Z64" i="1"/>
  <c r="AF64" i="1"/>
  <c r="L64" i="1"/>
  <c r="Q64" i="1"/>
  <c r="V64" i="1"/>
  <c r="BL9" i="1"/>
  <c r="BK9" i="1"/>
  <c r="AB64" i="1"/>
  <c r="AG64" i="1"/>
  <c r="M64" i="1"/>
  <c r="R64" i="1"/>
  <c r="X64" i="1"/>
  <c r="AC64" i="1"/>
  <c r="AH64" i="1"/>
  <c r="N64" i="1"/>
  <c r="T64" i="1"/>
  <c r="Y64" i="1"/>
  <c r="AD64" i="1"/>
  <c r="CX88" i="2"/>
  <c r="CX83" i="2"/>
  <c r="CX79" i="2"/>
  <c r="CX75" i="2"/>
  <c r="CX70" i="2"/>
  <c r="CW63" i="2"/>
  <c r="CX63" i="2" s="1"/>
  <c r="CX32" i="2"/>
  <c r="CW28" i="2"/>
  <c r="CX28" i="2"/>
  <c r="CX12" i="2"/>
  <c r="CX6" i="2"/>
  <c r="CX80" i="2"/>
  <c r="CX76" i="2"/>
  <c r="CX61" i="2"/>
  <c r="CX50" i="2"/>
  <c r="CX26" i="2"/>
  <c r="CX3" i="2"/>
  <c r="CX73" i="2"/>
  <c r="CX57" i="2"/>
  <c r="CX47" i="2"/>
  <c r="CX41" i="2"/>
  <c r="CW37" i="2"/>
  <c r="CX37" i="2"/>
  <c r="CX31" i="2"/>
  <c r="CX22" i="2"/>
  <c r="CX16" i="2"/>
  <c r="CX5" i="2"/>
  <c r="CX60" i="2"/>
  <c r="CX25" i="2"/>
  <c r="CX64" i="2"/>
  <c r="CX38" i="2"/>
  <c r="CX29" i="2"/>
  <c r="CX65" i="2"/>
  <c r="CX42" i="2"/>
  <c r="CX33" i="2"/>
  <c r="CX17" i="2"/>
  <c r="CX7" i="2"/>
  <c r="BL7" i="1"/>
  <c r="BL8" i="1"/>
  <c r="BJ10" i="1"/>
  <c r="BJ11" i="1" s="1"/>
  <c r="AY16" i="1" l="1"/>
  <c r="AY11" i="1"/>
  <c r="AZ16" i="1"/>
  <c r="AZ11" i="1"/>
  <c r="AX16" i="1"/>
  <c r="AX11" i="1"/>
  <c r="BA11" i="1" s="1"/>
  <c r="AV11" i="1" s="1"/>
  <c r="BL11" i="1"/>
  <c r="BL12" i="1" s="1"/>
  <c r="DD2" i="2" s="1"/>
  <c r="BJ12" i="1"/>
  <c r="BK11" i="1"/>
  <c r="BL10" i="1"/>
  <c r="BK10" i="1"/>
  <c r="AX37" i="1"/>
  <c r="AX25" i="1"/>
  <c r="AX30" i="1"/>
  <c r="AX40" i="1"/>
  <c r="AX45" i="1"/>
  <c r="AX31" i="1"/>
  <c r="AY37" i="1"/>
  <c r="AY25" i="1"/>
  <c r="AY30" i="1"/>
  <c r="AZ30" i="1"/>
  <c r="AZ37" i="1"/>
  <c r="AZ25" i="1"/>
  <c r="AY45" i="1"/>
  <c r="AY31" i="1"/>
  <c r="AY40" i="1"/>
  <c r="AY47" i="1"/>
  <c r="AY43" i="1"/>
  <c r="AZ31" i="1"/>
  <c r="AZ40" i="1"/>
  <c r="AZ45" i="1"/>
  <c r="AX43" i="1"/>
  <c r="AX47" i="1"/>
  <c r="AZ46" i="1"/>
  <c r="AZ18" i="1"/>
  <c r="AZ14" i="1"/>
  <c r="AZ19" i="1"/>
  <c r="AZ12" i="1"/>
  <c r="AZ24" i="1"/>
  <c r="AZ15" i="1"/>
  <c r="AZ42" i="1"/>
  <c r="AZ38" i="1"/>
  <c r="AZ34" i="1"/>
  <c r="AZ26" i="1"/>
  <c r="AZ27" i="1"/>
  <c r="AZ23" i="1"/>
  <c r="AZ44" i="1"/>
  <c r="AZ36" i="1"/>
  <c r="AZ28" i="1"/>
  <c r="AZ41" i="1"/>
  <c r="AZ33" i="1"/>
  <c r="AZ32" i="1"/>
  <c r="AX44" i="1"/>
  <c r="AX36" i="1"/>
  <c r="AX32" i="1"/>
  <c r="AX28" i="1"/>
  <c r="AX41" i="1"/>
  <c r="AX33" i="1"/>
  <c r="AX42" i="1"/>
  <c r="AX38" i="1"/>
  <c r="AX34" i="1"/>
  <c r="AX26" i="1"/>
  <c r="AX23" i="1"/>
  <c r="AX27" i="1"/>
  <c r="AY41" i="1"/>
  <c r="AY33" i="1"/>
  <c r="AY42" i="1"/>
  <c r="AY38" i="1"/>
  <c r="AY34" i="1"/>
  <c r="AY26" i="1"/>
  <c r="AY23" i="1"/>
  <c r="AY36" i="1"/>
  <c r="AY28" i="1"/>
  <c r="AY27" i="1"/>
  <c r="AY44" i="1"/>
  <c r="AY32" i="1"/>
  <c r="AZ47" i="1"/>
  <c r="AZ43" i="1"/>
  <c r="AY49" i="1"/>
  <c r="AY29" i="1"/>
  <c r="AY21" i="1"/>
  <c r="AY17" i="1"/>
  <c r="AY13" i="1"/>
  <c r="AY9" i="1"/>
  <c r="AY5" i="1"/>
  <c r="AY22" i="1"/>
  <c r="AY10" i="1"/>
  <c r="AY6" i="1"/>
  <c r="AY39" i="1"/>
  <c r="AY7" i="1"/>
  <c r="AY20" i="1"/>
  <c r="AY4" i="1"/>
  <c r="AY35" i="1"/>
  <c r="AY3" i="1"/>
  <c r="AY8" i="1"/>
  <c r="AY46" i="1"/>
  <c r="AY18" i="1"/>
  <c r="AY14" i="1"/>
  <c r="AY12" i="1"/>
  <c r="AY15" i="1"/>
  <c r="AY19" i="1"/>
  <c r="AY24" i="1"/>
  <c r="AZ22" i="1"/>
  <c r="AZ10" i="1"/>
  <c r="AZ6" i="1"/>
  <c r="AZ39" i="1"/>
  <c r="AZ35" i="1"/>
  <c r="AZ7" i="1"/>
  <c r="AZ3" i="1"/>
  <c r="AZ20" i="1"/>
  <c r="AZ4" i="1"/>
  <c r="AZ17" i="1"/>
  <c r="AZ9" i="1"/>
  <c r="AZ49" i="1"/>
  <c r="AZ29" i="1"/>
  <c r="AZ21" i="1"/>
  <c r="AZ5" i="1"/>
  <c r="AZ8" i="1"/>
  <c r="AZ13" i="1"/>
  <c r="AX24" i="1"/>
  <c r="AX15" i="1"/>
  <c r="AX12" i="1"/>
  <c r="AX46" i="1"/>
  <c r="AX18" i="1"/>
  <c r="AX14" i="1"/>
  <c r="AX19" i="1"/>
  <c r="BA50" i="1"/>
  <c r="AV50" i="1" s="1"/>
  <c r="BA16" i="1" l="1"/>
  <c r="AV16" i="1" s="1"/>
  <c r="AW11" i="1"/>
  <c r="AW16" i="1"/>
  <c r="BK12" i="1"/>
  <c r="CY89" i="2"/>
  <c r="CY30" i="2"/>
  <c r="CY18" i="2"/>
  <c r="CY82" i="2"/>
  <c r="CY54" i="2"/>
  <c r="CY26" i="2"/>
  <c r="CY90" i="2"/>
  <c r="CY15" i="2"/>
  <c r="CY31" i="2"/>
  <c r="CY47" i="2"/>
  <c r="CY63" i="2"/>
  <c r="CY79" i="2"/>
  <c r="CY8" i="2"/>
  <c r="CY24" i="2"/>
  <c r="CY40" i="2"/>
  <c r="CY56" i="2"/>
  <c r="CY72" i="2"/>
  <c r="CY88" i="2"/>
  <c r="CY17" i="2"/>
  <c r="CY33" i="2"/>
  <c r="CY49" i="2"/>
  <c r="CY65" i="2"/>
  <c r="CY81" i="2"/>
  <c r="CY46" i="2"/>
  <c r="CY34" i="2"/>
  <c r="CY6" i="2"/>
  <c r="CY70" i="2"/>
  <c r="CY42" i="2"/>
  <c r="CY3" i="2"/>
  <c r="CY19" i="2"/>
  <c r="CY35" i="2"/>
  <c r="CY51" i="2"/>
  <c r="CY67" i="2"/>
  <c r="CY83" i="2"/>
  <c r="CY12" i="2"/>
  <c r="CY28" i="2"/>
  <c r="CY44" i="2"/>
  <c r="CY60" i="2"/>
  <c r="CY76" i="2"/>
  <c r="CY5" i="2"/>
  <c r="CY21" i="2"/>
  <c r="CY37" i="2"/>
  <c r="CY53" i="2"/>
  <c r="CY69" i="2"/>
  <c r="CY85" i="2"/>
  <c r="CY62" i="2"/>
  <c r="CY50" i="2"/>
  <c r="CY22" i="2"/>
  <c r="CY86" i="2"/>
  <c r="CY58" i="2"/>
  <c r="CY7" i="2"/>
  <c r="CY23" i="2"/>
  <c r="CY39" i="2"/>
  <c r="CY55" i="2"/>
  <c r="CY71" i="2"/>
  <c r="CY87" i="2"/>
  <c r="CY16" i="2"/>
  <c r="CY32" i="2"/>
  <c r="CY48" i="2"/>
  <c r="CY64" i="2"/>
  <c r="CY80" i="2"/>
  <c r="CY9" i="2"/>
  <c r="CY25" i="2"/>
  <c r="CY41" i="2"/>
  <c r="CY57" i="2"/>
  <c r="CY73" i="2"/>
  <c r="DE2" i="2"/>
  <c r="CY14" i="2"/>
  <c r="CY78" i="2"/>
  <c r="CY66" i="2"/>
  <c r="CY38" i="2"/>
  <c r="CY10" i="2"/>
  <c r="CY74" i="2"/>
  <c r="CY11" i="2"/>
  <c r="CY27" i="2"/>
  <c r="CY43" i="2"/>
  <c r="CY59" i="2"/>
  <c r="CY75" i="2"/>
  <c r="CY4" i="2"/>
  <c r="CY20" i="2"/>
  <c r="CY36" i="2"/>
  <c r="CY52" i="2"/>
  <c r="CY68" i="2"/>
  <c r="CY13" i="2"/>
  <c r="CY77" i="2"/>
  <c r="CY29" i="2"/>
  <c r="CY45" i="2"/>
  <c r="CZ45" i="2" s="1"/>
  <c r="CY84" i="2"/>
  <c r="CY61" i="2"/>
  <c r="AX20" i="1"/>
  <c r="AX8" i="1"/>
  <c r="AX4" i="1"/>
  <c r="BA4" i="1" s="1"/>
  <c r="AV4" i="1" s="1"/>
  <c r="AX49" i="1"/>
  <c r="AX29" i="1"/>
  <c r="AX21" i="1"/>
  <c r="AX17" i="1"/>
  <c r="AX13" i="1"/>
  <c r="AX9" i="1"/>
  <c r="AX5" i="1"/>
  <c r="BA5" i="1" s="1"/>
  <c r="AV5" i="1" s="1"/>
  <c r="AX10" i="1"/>
  <c r="AX7" i="1"/>
  <c r="AX35" i="1"/>
  <c r="AX22" i="1"/>
  <c r="AX6" i="1"/>
  <c r="AX39" i="1"/>
  <c r="AX3" i="1"/>
  <c r="BA3" i="1" s="1"/>
  <c r="AV3" i="1" s="1"/>
  <c r="BA19" i="1"/>
  <c r="BA48" i="1"/>
  <c r="AW50" i="1"/>
  <c r="BA38" i="1"/>
  <c r="BA27" i="1"/>
  <c r="BA25" i="1"/>
  <c r="BA34" i="1"/>
  <c r="BA42" i="1"/>
  <c r="BA46" i="1"/>
  <c r="BA45" i="1"/>
  <c r="BA26" i="1"/>
  <c r="BA41" i="1"/>
  <c r="BA15" i="1"/>
  <c r="BA28" i="1"/>
  <c r="BA23" i="1"/>
  <c r="BA24" i="1"/>
  <c r="BA31" i="1"/>
  <c r="BA44" i="1"/>
  <c r="BA18" i="1"/>
  <c r="BA30" i="1"/>
  <c r="BA32" i="1"/>
  <c r="BA40" i="1"/>
  <c r="BA37" i="1"/>
  <c r="BA43" i="1"/>
  <c r="BA33" i="1"/>
  <c r="BA36" i="1"/>
  <c r="BA14" i="1"/>
  <c r="BA12" i="1"/>
  <c r="BA47" i="1"/>
  <c r="CZ38" i="2" l="1"/>
  <c r="DA38" i="2" s="1"/>
  <c r="CZ68" i="2"/>
  <c r="CZ4" i="2"/>
  <c r="CZ27" i="2"/>
  <c r="DH7" i="2" s="1"/>
  <c r="CZ84" i="2"/>
  <c r="CZ13" i="2"/>
  <c r="DA13" i="2" s="1"/>
  <c r="CZ20" i="2"/>
  <c r="CZ43" i="2"/>
  <c r="CZ10" i="2"/>
  <c r="CZ14" i="2"/>
  <c r="CZ41" i="2"/>
  <c r="CZ64" i="2"/>
  <c r="CZ87" i="2"/>
  <c r="CZ23" i="2"/>
  <c r="DH5" i="2" s="1"/>
  <c r="CZ22" i="2"/>
  <c r="CZ69" i="2"/>
  <c r="DA69" i="2" s="1"/>
  <c r="CZ5" i="2"/>
  <c r="DA5" i="2" s="1"/>
  <c r="CZ28" i="2"/>
  <c r="CZ51" i="2"/>
  <c r="DA51" i="2" s="1"/>
  <c r="CZ42" i="2"/>
  <c r="DA42" i="2" s="1"/>
  <c r="CZ46" i="2"/>
  <c r="DA46" i="2" s="1"/>
  <c r="CZ33" i="2"/>
  <c r="CZ56" i="2"/>
  <c r="DA56" i="2" s="1"/>
  <c r="CZ79" i="2"/>
  <c r="DA79" i="2" s="1"/>
  <c r="CZ15" i="2"/>
  <c r="CZ82" i="2"/>
  <c r="CZ74" i="2"/>
  <c r="CZ25" i="2"/>
  <c r="CZ48" i="2"/>
  <c r="DA48" i="2" s="1"/>
  <c r="CZ71" i="2"/>
  <c r="CZ7" i="2"/>
  <c r="CZ50" i="2"/>
  <c r="CZ53" i="2"/>
  <c r="CZ76" i="2"/>
  <c r="DA76" i="2" s="1"/>
  <c r="CZ12" i="2"/>
  <c r="DA12" i="2" s="1"/>
  <c r="CZ35" i="2"/>
  <c r="CZ70" i="2"/>
  <c r="CZ81" i="2"/>
  <c r="CZ17" i="2"/>
  <c r="CZ40" i="2"/>
  <c r="DA40" i="2" s="1"/>
  <c r="CZ63" i="2"/>
  <c r="DA63" i="2" s="1"/>
  <c r="CZ90" i="2"/>
  <c r="CZ18" i="2"/>
  <c r="DH4" i="2" s="1"/>
  <c r="CZ29" i="2"/>
  <c r="DA29" i="2" s="1"/>
  <c r="CZ52" i="2"/>
  <c r="CZ75" i="2"/>
  <c r="DA75" i="2" s="1"/>
  <c r="CZ11" i="2"/>
  <c r="CZ66" i="2"/>
  <c r="CZ73" i="2"/>
  <c r="DA73" i="2" s="1"/>
  <c r="CZ9" i="2"/>
  <c r="CZ32" i="2"/>
  <c r="CZ55" i="2"/>
  <c r="DA55" i="2" s="1"/>
  <c r="CZ58" i="2"/>
  <c r="CZ62" i="2"/>
  <c r="CZ37" i="2"/>
  <c r="DA37" i="2" s="1"/>
  <c r="CZ60" i="2"/>
  <c r="DA60" i="2" s="1"/>
  <c r="CZ83" i="2"/>
  <c r="CZ19" i="2"/>
  <c r="DA19" i="2" s="1"/>
  <c r="CZ6" i="2"/>
  <c r="DA6" i="2" s="1"/>
  <c r="CZ65" i="2"/>
  <c r="CZ88" i="2"/>
  <c r="CZ24" i="2"/>
  <c r="DA24" i="2" s="1"/>
  <c r="CZ47" i="2"/>
  <c r="CZ26" i="2"/>
  <c r="DA26" i="2" s="1"/>
  <c r="CZ30" i="2"/>
  <c r="DA30" i="2" s="1"/>
  <c r="CZ61" i="2"/>
  <c r="CZ77" i="2"/>
  <c r="DA77" i="2" s="1"/>
  <c r="CZ36" i="2"/>
  <c r="DA36" i="2" s="1"/>
  <c r="CZ59" i="2"/>
  <c r="DA59" i="2" s="1"/>
  <c r="CZ78" i="2"/>
  <c r="CZ57" i="2"/>
  <c r="DA57" i="2" s="1"/>
  <c r="CZ80" i="2"/>
  <c r="CZ16" i="2"/>
  <c r="DA16" i="2" s="1"/>
  <c r="CZ39" i="2"/>
  <c r="DA39" i="2" s="1"/>
  <c r="CZ86" i="2"/>
  <c r="CZ85" i="2"/>
  <c r="DA85" i="2" s="1"/>
  <c r="CZ21" i="2"/>
  <c r="DA21" i="2" s="1"/>
  <c r="CZ44" i="2"/>
  <c r="CZ67" i="2"/>
  <c r="DA67" i="2" s="1"/>
  <c r="CZ3" i="2"/>
  <c r="DH6" i="2" s="1"/>
  <c r="CZ34" i="2"/>
  <c r="CZ49" i="2"/>
  <c r="CZ72" i="2"/>
  <c r="CZ8" i="2"/>
  <c r="DA8" i="2" s="1"/>
  <c r="CZ31" i="2"/>
  <c r="DA31" i="2" s="1"/>
  <c r="CZ54" i="2"/>
  <c r="CZ89" i="2"/>
  <c r="AW4" i="1"/>
  <c r="AW5" i="1"/>
  <c r="AW3" i="1"/>
  <c r="DA54" i="2" l="1"/>
  <c r="DH14" i="2"/>
  <c r="DA78" i="2"/>
  <c r="DH19" i="2"/>
  <c r="DA33" i="2"/>
  <c r="DH17" i="2"/>
  <c r="DA34" i="2"/>
  <c r="DH11" i="2"/>
  <c r="DA70" i="2"/>
  <c r="DH18" i="2"/>
  <c r="DA53" i="2"/>
  <c r="DH13" i="2"/>
  <c r="DA89" i="2"/>
  <c r="DH9" i="2"/>
  <c r="DA86" i="2"/>
  <c r="DH8" i="2"/>
  <c r="DA11" i="2"/>
  <c r="DH12" i="2"/>
  <c r="DA7" i="2"/>
  <c r="DH16" i="2"/>
  <c r="DA74" i="2"/>
  <c r="DH15" i="2"/>
  <c r="DA20" i="2"/>
  <c r="DH10" i="2"/>
  <c r="CZ92" i="2"/>
  <c r="BJ16" i="1" s="1"/>
  <c r="BA6" i="1"/>
  <c r="AW6" i="1" s="1"/>
  <c r="BK16" i="1" l="1"/>
  <c r="BJ15" i="1"/>
  <c r="BL15" i="1" s="1"/>
  <c r="BL16" i="1"/>
  <c r="AV6" i="1"/>
  <c r="BK15" i="1" l="1"/>
  <c r="BA17" i="1"/>
  <c r="AW17" i="1" s="1"/>
  <c r="BA13" i="1"/>
  <c r="AW13" i="1" s="1"/>
  <c r="BA10" i="1"/>
  <c r="AV10" i="1" s="1"/>
  <c r="BA8" i="1"/>
  <c r="AW8" i="1" s="1"/>
  <c r="BA49" i="1"/>
  <c r="AW49" i="1" s="1"/>
  <c r="BA20" i="1"/>
  <c r="AV20" i="1" s="1"/>
  <c r="BA22" i="1"/>
  <c r="AV22" i="1" s="1"/>
  <c r="BA9" i="1"/>
  <c r="AV9" i="1" s="1"/>
  <c r="BA39" i="1"/>
  <c r="AV39" i="1" s="1"/>
  <c r="BA35" i="1"/>
  <c r="AW35" i="1" s="1"/>
  <c r="BA21" i="1"/>
  <c r="AW21" i="1" s="1"/>
  <c r="BA29" i="1"/>
  <c r="AW29" i="1" s="1"/>
  <c r="BA7" i="1"/>
  <c r="AV7" i="1" s="1"/>
  <c r="AW39" i="1" l="1"/>
  <c r="AV49" i="1"/>
  <c r="AW20" i="1"/>
  <c r="AW7" i="1"/>
  <c r="AV29" i="1"/>
  <c r="AV35" i="1"/>
  <c r="AW9" i="1"/>
  <c r="AV8" i="1"/>
  <c r="AV21" i="1"/>
  <c r="AV13" i="1"/>
  <c r="AW22" i="1"/>
  <c r="AW10" i="1"/>
  <c r="AV17" i="1"/>
  <c r="AV23" i="1" l="1"/>
  <c r="AW23" i="1"/>
  <c r="AV41" i="1"/>
  <c r="AW41" i="1"/>
  <c r="AV28" i="1"/>
  <c r="AW28" i="1"/>
  <c r="AV43" i="1"/>
  <c r="AW43" i="1"/>
  <c r="AW48" i="1"/>
  <c r="AV48" i="1"/>
  <c r="AW19" i="1"/>
  <c r="AV19" i="1"/>
  <c r="AW18" i="1"/>
  <c r="AV18" i="1"/>
  <c r="AV33" i="1"/>
  <c r="AW33" i="1"/>
  <c r="AW44" i="1"/>
  <c r="AV44" i="1"/>
  <c r="AW38" i="1"/>
  <c r="AV38" i="1"/>
  <c r="AV47" i="1"/>
  <c r="AW47" i="1"/>
  <c r="AV25" i="1"/>
  <c r="AW25" i="1"/>
  <c r="AW14" i="1"/>
  <c r="AV14" i="1"/>
  <c r="AW31" i="1"/>
  <c r="AV31" i="1"/>
  <c r="AV26" i="1"/>
  <c r="AW26" i="1"/>
  <c r="AW32" i="1"/>
  <c r="AV32" i="1"/>
  <c r="AV42" i="1"/>
  <c r="AW42" i="1"/>
  <c r="AW37" i="1"/>
  <c r="AV37" i="1"/>
  <c r="AV12" i="1"/>
  <c r="AW12" i="1"/>
  <c r="AV15" i="1"/>
  <c r="AW15" i="1"/>
  <c r="AV45" i="1"/>
  <c r="AW45" i="1"/>
  <c r="AW36" i="1"/>
  <c r="AV36" i="1"/>
  <c r="AW27" i="1"/>
  <c r="AV27" i="1"/>
  <c r="AV34" i="1"/>
  <c r="AW34" i="1"/>
  <c r="AW30" i="1"/>
  <c r="AV30" i="1"/>
  <c r="AW24" i="1"/>
  <c r="AV24" i="1"/>
  <c r="AV46" i="1"/>
  <c r="AW46" i="1"/>
  <c r="AV40" i="1"/>
  <c r="AW40" i="1"/>
</calcChain>
</file>

<file path=xl/sharedStrings.xml><?xml version="1.0" encoding="utf-8"?>
<sst xmlns="http://schemas.openxmlformats.org/spreadsheetml/2006/main" count="1727" uniqueCount="718">
  <si>
    <t>DATE</t>
  </si>
  <si>
    <t>BASE</t>
  </si>
  <si>
    <t>LNP</t>
  </si>
  <si>
    <t>ALP</t>
  </si>
  <si>
    <t>GRN</t>
  </si>
  <si>
    <t>Newspoll</t>
  </si>
  <si>
    <t>ReachTEL</t>
  </si>
  <si>
    <t>Essential</t>
  </si>
  <si>
    <t>Nielsen</t>
  </si>
  <si>
    <t>Galaxy</t>
  </si>
  <si>
    <t>Morgan</t>
  </si>
  <si>
    <t>POLLSTER</t>
  </si>
  <si>
    <t>RAW MODEL OUTPUT</t>
  </si>
  <si>
    <t>OTH</t>
  </si>
  <si>
    <t>LNP2</t>
  </si>
  <si>
    <t>ALP2</t>
  </si>
  <si>
    <t>Coalition</t>
  </si>
  <si>
    <t>Labor</t>
  </si>
  <si>
    <t>Greens</t>
  </si>
  <si>
    <t>Others</t>
  </si>
  <si>
    <t>LABOR</t>
  </si>
  <si>
    <t>SEATS</t>
  </si>
  <si>
    <t>SWING SINCE</t>
  </si>
  <si>
    <t>Calwell</t>
  </si>
  <si>
    <t>Yuroke</t>
  </si>
  <si>
    <t>Scullin</t>
  </si>
  <si>
    <t>Yan Yean</t>
  </si>
  <si>
    <t>McEwen</t>
  </si>
  <si>
    <t>Gellibrand</t>
  </si>
  <si>
    <t>Williamstown</t>
  </si>
  <si>
    <t>Lalor</t>
  </si>
  <si>
    <t>Werribee</t>
  </si>
  <si>
    <t>Ballarat</t>
  </si>
  <si>
    <t>Wendouree</t>
  </si>
  <si>
    <t>Jagajaga</t>
  </si>
  <si>
    <t>Warrandyte</t>
  </si>
  <si>
    <t>Menzies</t>
  </si>
  <si>
    <t>Batman</t>
  </si>
  <si>
    <t>Thomastown</t>
  </si>
  <si>
    <t>Tarneit</t>
  </si>
  <si>
    <t>Sydenham</t>
  </si>
  <si>
    <t>Gorton</t>
  </si>
  <si>
    <t>Sunbury</t>
  </si>
  <si>
    <t>Wills</t>
  </si>
  <si>
    <t>St Albans</t>
  </si>
  <si>
    <t>Maribyrnong</t>
  </si>
  <si>
    <t>Wannon</t>
  </si>
  <si>
    <t>South-West Coast</t>
  </si>
  <si>
    <t>Corangamite</t>
  </si>
  <si>
    <t>South Barwon</t>
  </si>
  <si>
    <t>Murray</t>
  </si>
  <si>
    <t>Shepparton</t>
  </si>
  <si>
    <t>Hotham</t>
  </si>
  <si>
    <t>Sandringham</t>
  </si>
  <si>
    <t>Isaacs</t>
  </si>
  <si>
    <t>Goldstein</t>
  </si>
  <si>
    <t>La Trobe</t>
  </si>
  <si>
    <t>Rowville</t>
  </si>
  <si>
    <t>Holt</t>
  </si>
  <si>
    <t>Aston</t>
  </si>
  <si>
    <t>Bendigo</t>
  </si>
  <si>
    <t>Ripon</t>
  </si>
  <si>
    <t>Mallee</t>
  </si>
  <si>
    <t>Ringwood</t>
  </si>
  <si>
    <t>Deakin</t>
  </si>
  <si>
    <t>Melbourne</t>
  </si>
  <si>
    <t>Richmond</t>
  </si>
  <si>
    <t>Melbourne Ports</t>
  </si>
  <si>
    <t>Prahran</t>
  </si>
  <si>
    <t>Higgins</t>
  </si>
  <si>
    <t>Polwarth</t>
  </si>
  <si>
    <t>Pascoe Vale</t>
  </si>
  <si>
    <t>Ovens Valley</t>
  </si>
  <si>
    <t>Indi</t>
  </si>
  <si>
    <t>Bruce</t>
  </si>
  <si>
    <t>Oakleigh</t>
  </si>
  <si>
    <t>Chisholm</t>
  </si>
  <si>
    <t>Northcote</t>
  </si>
  <si>
    <t>Niddrie</t>
  </si>
  <si>
    <t>Flinders</t>
  </si>
  <si>
    <t>Nepean</t>
  </si>
  <si>
    <t>Narre Warren South</t>
  </si>
  <si>
    <t>Narre Warren North</t>
  </si>
  <si>
    <t>McMillan</t>
  </si>
  <si>
    <t>Narracan</t>
  </si>
  <si>
    <t>Murray Plains</t>
  </si>
  <si>
    <t>Mulgrave</t>
  </si>
  <si>
    <t>Mount Waverley</t>
  </si>
  <si>
    <t>Morwell</t>
  </si>
  <si>
    <t>Gippsland</t>
  </si>
  <si>
    <t>Mornington</t>
  </si>
  <si>
    <t>Dunkley</t>
  </si>
  <si>
    <t>Mordialloc</t>
  </si>
  <si>
    <t>JAN KRONBERG</t>
  </si>
  <si>
    <t>Eastern Metropolitan</t>
  </si>
  <si>
    <t>Monbulk</t>
  </si>
  <si>
    <t>Casey</t>
  </si>
  <si>
    <t>DAVID KOCH</t>
  </si>
  <si>
    <t>Western Victoria</t>
  </si>
  <si>
    <t>Mill Park</t>
  </si>
  <si>
    <t>MATT VINEY</t>
  </si>
  <si>
    <t>Eastern Victoria</t>
  </si>
  <si>
    <t>Mildura</t>
  </si>
  <si>
    <t>Melton</t>
  </si>
  <si>
    <t>JOHN LENDERS</t>
  </si>
  <si>
    <t>ANDREA COOTE</t>
  </si>
  <si>
    <t>Southern Metropolitan</t>
  </si>
  <si>
    <t>MARG LEWIS</t>
  </si>
  <si>
    <t>Malvern</t>
  </si>
  <si>
    <t>KAYE DARVENIZA</t>
  </si>
  <si>
    <t>Northern Victoria</t>
  </si>
  <si>
    <t>Macedon</t>
  </si>
  <si>
    <t>Portland</t>
  </si>
  <si>
    <t>Frankston East</t>
  </si>
  <si>
    <t>Lowan</t>
  </si>
  <si>
    <t>Bennettswood</t>
  </si>
  <si>
    <t>Rodney</t>
  </si>
  <si>
    <t>Corio</t>
  </si>
  <si>
    <t>Lara</t>
  </si>
  <si>
    <t>Doncaster</t>
  </si>
  <si>
    <t>ALPVAC</t>
  </si>
  <si>
    <t>IMAD HIRMIZ</t>
  </si>
  <si>
    <t>Imad Hirmiz (AC)</t>
  </si>
  <si>
    <t>Kororoit</t>
  </si>
  <si>
    <t>Yuroke/Tullamarine</t>
  </si>
  <si>
    <t>LIZ BEATTIE</t>
  </si>
  <si>
    <t>NATALIE ABBOUD</t>
  </si>
  <si>
    <t>ROS SPENCE</t>
  </si>
  <si>
    <t>TO BE ANNOUNCED</t>
  </si>
  <si>
    <t/>
  </si>
  <si>
    <t>Northern Metropolitan</t>
  </si>
  <si>
    <t>ALPINC</t>
  </si>
  <si>
    <t>Keysborough</t>
  </si>
  <si>
    <t>DANIEL SACCHERO</t>
  </si>
  <si>
    <t>SAM OZTURK</t>
  </si>
  <si>
    <t>DANIELLE GREEN</t>
  </si>
  <si>
    <t>LIB</t>
  </si>
  <si>
    <t>Yan Yean (*)</t>
  </si>
  <si>
    <t>SIMON CRAWFORD</t>
  </si>
  <si>
    <t>ALAN SHEA</t>
  </si>
  <si>
    <t>WADE NOONAN</t>
  </si>
  <si>
    <t>Western Metropolitan</t>
  </si>
  <si>
    <t>Kooyong</t>
  </si>
  <si>
    <t>Kew</t>
  </si>
  <si>
    <t>New electorate</t>
  </si>
  <si>
    <t>BRO SHEFFIELD-BROTHERTON</t>
  </si>
  <si>
    <t>Tarun Singh</t>
  </si>
  <si>
    <t>TIM PALLAS</t>
  </si>
  <si>
    <t>ALPSOPVAC</t>
  </si>
  <si>
    <t>Liam Hastie</t>
  </si>
  <si>
    <t>Ivanhoe</t>
  </si>
  <si>
    <t>Ballarat West</t>
  </si>
  <si>
    <t>ALICE BARNES</t>
  </si>
  <si>
    <t>CRAIG COLTMAN</t>
  </si>
  <si>
    <t>SHARON KNIGHT</t>
  </si>
  <si>
    <t>LIBINC</t>
  </si>
  <si>
    <t>Hawthorn</t>
  </si>
  <si>
    <t>RICHARD CRANSTON</t>
  </si>
  <si>
    <t>STEVEN KENT</t>
  </si>
  <si>
    <t>RYAN SMITH</t>
  </si>
  <si>
    <t>IAN WILLIAMSON</t>
  </si>
  <si>
    <t>Nitin Gursahani</t>
  </si>
  <si>
    <t>BRONWYN HALFPENNY</t>
  </si>
  <si>
    <t>LEM BAGUOT</t>
  </si>
  <si>
    <t>ABDUL MUJEEB SYED</t>
  </si>
  <si>
    <t>SAFWAT ALI</t>
  </si>
  <si>
    <t>Abdul Mujeeb Syed (Ind)</t>
  </si>
  <si>
    <t>Lem Baguot (AC)</t>
  </si>
  <si>
    <t>Safwat Ali (Ind)</t>
  </si>
  <si>
    <t>Hastings</t>
  </si>
  <si>
    <t>Tarneit/Werribee</t>
  </si>
  <si>
    <t>ROHAN WARING</t>
  </si>
  <si>
    <t>Dinesh Gouiresetty</t>
  </si>
  <si>
    <t>TELMO LANGUILLER</t>
  </si>
  <si>
    <t>SHAUN McKERRAL</t>
  </si>
  <si>
    <t>Shaun McKerral (Ind)</t>
  </si>
  <si>
    <t>Keilor</t>
  </si>
  <si>
    <t>ALEX SCHLOTZER</t>
  </si>
  <si>
    <t>John Varano</t>
  </si>
  <si>
    <t>NATALIE HUTCHINS</t>
  </si>
  <si>
    <t>CHARLES WILLIAMS</t>
  </si>
  <si>
    <t>Charles Williams (AC)</t>
  </si>
  <si>
    <t>Gippsland South</t>
  </si>
  <si>
    <t>Ella Webb</t>
  </si>
  <si>
    <t>JOSH BULL</t>
  </si>
  <si>
    <t>JO HAGAN</t>
  </si>
  <si>
    <t>Derrimut/Sunshine</t>
  </si>
  <si>
    <t>LISA ASBURY</t>
  </si>
  <si>
    <t>MOIRA-LOUISE DEEMING</t>
  </si>
  <si>
    <t>NATALIE SULEYMAN</t>
  </si>
  <si>
    <t>Steve Moore</t>
  </si>
  <si>
    <t>Steve Moore (ACA)</t>
  </si>
  <si>
    <t>Gembrook</t>
  </si>
  <si>
    <t>South-West Coast/Warrnambool</t>
  </si>
  <si>
    <t>THOMAS CAMPBELL</t>
  </si>
  <si>
    <t>ROY REEKIE</t>
  </si>
  <si>
    <t>DENIS NAPTHINE</t>
  </si>
  <si>
    <t>LIBSOPWIN</t>
  </si>
  <si>
    <t>STEPHEN CHARA</t>
  </si>
  <si>
    <t>Stephen Chara (ACA)</t>
  </si>
  <si>
    <t>LISA ASHDOWNE</t>
  </si>
  <si>
    <t>ANDY RICHARDS</t>
  </si>
  <si>
    <t>ANDREW KATOS</t>
  </si>
  <si>
    <t>NATVAC</t>
  </si>
  <si>
    <t>NAT</t>
  </si>
  <si>
    <t>MICHAEL BOURKE</t>
  </si>
  <si>
    <t>Michael Bourke (ACA)</t>
  </si>
  <si>
    <t>NAT v ALP</t>
  </si>
  <si>
    <t>Geelong</t>
  </si>
  <si>
    <t>JEANETTE POWELL</t>
  </si>
  <si>
    <t>Damien Stevens</t>
  </si>
  <si>
    <t>ROD HIGGINS</t>
  </si>
  <si>
    <t>GREG BARR</t>
  </si>
  <si>
    <t>Clarke Martin</t>
  </si>
  <si>
    <t>Clarke Martin (Ind)</t>
  </si>
  <si>
    <t>ADAM McBETH</t>
  </si>
  <si>
    <t>CHRISTINA ZIGOURAS</t>
  </si>
  <si>
    <t>MURRAY THOMPSON</t>
  </si>
  <si>
    <t>Frankston</t>
  </si>
  <si>
    <t>Scoresby/Wantirna</t>
  </si>
  <si>
    <t>Tim Wise</t>
  </si>
  <si>
    <t>TAMIKA HICKS</t>
  </si>
  <si>
    <t>KIM WELLS</t>
  </si>
  <si>
    <t>South Eastern Metropolitan</t>
  </si>
  <si>
    <t>Trevor Domaschenz</t>
  </si>
  <si>
    <t>Trevor Domaschenz (ACA)</t>
  </si>
  <si>
    <t>LIB v ALP v NAT</t>
  </si>
  <si>
    <t>Forest Hill</t>
  </si>
  <si>
    <t>JOE HELPER</t>
  </si>
  <si>
    <t>ROD MAY</t>
  </si>
  <si>
    <t>DANIEL McGLONE</t>
  </si>
  <si>
    <t>SCOTT TURNER</t>
  </si>
  <si>
    <t>LOUISE STALEY</t>
  </si>
  <si>
    <t>Ripon (*)</t>
  </si>
  <si>
    <t>Steve Raskovy</t>
  </si>
  <si>
    <t>BRIAN DUNGEY</t>
  </si>
  <si>
    <t>Brian Dungey (ACA)</t>
  </si>
  <si>
    <t>Mitcham</t>
  </si>
  <si>
    <t>BRENDAN POWELL</t>
  </si>
  <si>
    <t>TONY CLARK</t>
  </si>
  <si>
    <t>DEE RYALL</t>
  </si>
  <si>
    <t>Nevena Spirovska</t>
  </si>
  <si>
    <t>Tom Keel</t>
  </si>
  <si>
    <t>STEPHEN JOLLY</t>
  </si>
  <si>
    <t>Tom Keel (Ind)</t>
  </si>
  <si>
    <t>Stephen Jolly (Ind)</t>
  </si>
  <si>
    <t>ALP v GRN</t>
  </si>
  <si>
    <t>KATHLEEN MALTZAHN</t>
  </si>
  <si>
    <t>Weiran Lu</t>
  </si>
  <si>
    <t>RICHARD WYNNE</t>
  </si>
  <si>
    <t>Footscray</t>
  </si>
  <si>
    <t>ROSE LJUBICIC</t>
  </si>
  <si>
    <t>JOHN FORSTER</t>
  </si>
  <si>
    <t>ROBIN SCOTT</t>
  </si>
  <si>
    <t>Preston</t>
  </si>
  <si>
    <t>Eleonora Gullone</t>
  </si>
  <si>
    <t>SAM HIBBINS</t>
  </si>
  <si>
    <t>NEIL PHARAOH</t>
  </si>
  <si>
    <t>CLEM NEWTON-BROWN</t>
  </si>
  <si>
    <t>Ferntree Gully</t>
  </si>
  <si>
    <t>SIMON NORTHEAST</t>
  </si>
  <si>
    <t>LIBBY COKER</t>
  </si>
  <si>
    <t>TERRY MULDER</t>
  </si>
  <si>
    <t>SEAN BROCKLEHURST</t>
  </si>
  <si>
    <t>Sean Brocklehurst</t>
  </si>
  <si>
    <t>LIB PIC NEEDED</t>
  </si>
  <si>
    <t>CHRISTINE CAMPBELL</t>
  </si>
  <si>
    <t>LIAM FARRELLY</t>
  </si>
  <si>
    <t>LIZZIE BLANDTHORN</t>
  </si>
  <si>
    <t>Jacqueline Khoo</t>
  </si>
  <si>
    <t>NATSOPVAC</t>
  </si>
  <si>
    <t>Julian Fidge</t>
  </si>
  <si>
    <t>Julian Fidge (ACA)</t>
  </si>
  <si>
    <t>Evelyn</t>
  </si>
  <si>
    <t>Murray Valley</t>
  </si>
  <si>
    <t>JAMIE McCAFFREY</t>
  </si>
  <si>
    <t>GAIL CHOLOSZNECKI</t>
  </si>
  <si>
    <t>TIM McCURDY</t>
  </si>
  <si>
    <t>Euroa</t>
  </si>
  <si>
    <t>ANN BARKER</t>
  </si>
  <si>
    <t>STEVEN MERRIEL</t>
  </si>
  <si>
    <t>STEPHEN DIMOPOULOS</t>
  </si>
  <si>
    <t>THEO ZOGRAPHOS</t>
  </si>
  <si>
    <t>BRYONY EDWARDS</t>
  </si>
  <si>
    <t>Bryony Edwards (Ind)</t>
  </si>
  <si>
    <t>Trent McCarthy (GRN)</t>
  </si>
  <si>
    <t>TRENT McCARTHY</t>
  </si>
  <si>
    <t>ANTHONY D'ANGELO</t>
  </si>
  <si>
    <t>FIONA RICHARDSON</t>
  </si>
  <si>
    <t>Sarah Roberts</t>
  </si>
  <si>
    <t>REBECCA GAUCI MAURICI</t>
  </si>
  <si>
    <t>BEN CARROLL</t>
  </si>
  <si>
    <t>Nepean/Dromana</t>
  </si>
  <si>
    <t>CRAIG THOMSON</t>
  </si>
  <si>
    <t>CAROLYN GLEIXNER</t>
  </si>
  <si>
    <t>MARTIN DIXON</t>
  </si>
  <si>
    <t>Essendon</t>
  </si>
  <si>
    <t>Created in 2002</t>
  </si>
  <si>
    <t>LYNETTE KELEHER</t>
  </si>
  <si>
    <t>SUSAN SEREY</t>
  </si>
  <si>
    <t>JUDITH GRALEY</t>
  </si>
  <si>
    <t>Narre Warren North/Berwick</t>
  </si>
  <si>
    <t>Karen Jones</t>
  </si>
  <si>
    <t>AMANDA STAPLEDON</t>
  </si>
  <si>
    <t>LUKE DONNELLAN</t>
  </si>
  <si>
    <t>DAVE SNELLING</t>
  </si>
  <si>
    <t>Dave Snelling (ACA)</t>
  </si>
  <si>
    <t>MALCOLM McKELVIE</t>
  </si>
  <si>
    <t>KATE MARTEN</t>
  </si>
  <si>
    <t>GARY BLACKWOOD</t>
  </si>
  <si>
    <t>NATINC</t>
  </si>
  <si>
    <t>BYRON WINN</t>
  </si>
  <si>
    <t>Byron Winn (ACA)</t>
  </si>
  <si>
    <t>ALP TBA</t>
  </si>
  <si>
    <t>Eltham</t>
  </si>
  <si>
    <t>Swan Hill</t>
  </si>
  <si>
    <t>Ian Christoe</t>
  </si>
  <si>
    <t>PETER WALSH</t>
  </si>
  <si>
    <t>Mulgrave/Dandenong North</t>
  </si>
  <si>
    <t>JOSH FERGEUS</t>
  </si>
  <si>
    <t>ROBERT DAVIES</t>
  </si>
  <si>
    <t>DANIEL ANDREWS</t>
  </si>
  <si>
    <t>Eildon</t>
  </si>
  <si>
    <t>Mount Waverley/Glen Waverley</t>
  </si>
  <si>
    <t>PERKY RAJ KHANGURE</t>
  </si>
  <si>
    <t>JENNIFER YANG</t>
  </si>
  <si>
    <t>MICHAEL GIDLEY</t>
  </si>
  <si>
    <t>Tracie Lund</t>
  </si>
  <si>
    <t>Tracie Lund (Ind)</t>
  </si>
  <si>
    <t>DANIEL CAFFREY</t>
  </si>
  <si>
    <t>JADON MINTERN</t>
  </si>
  <si>
    <t>RUSSELL NORTHE</t>
  </si>
  <si>
    <t>MATTHEW McLAREN</t>
  </si>
  <si>
    <t>REBECCA WRIGHT</t>
  </si>
  <si>
    <t>DAVID MORRIS</t>
  </si>
  <si>
    <t>Georgina Oxley</t>
  </si>
  <si>
    <t>Georgina Oxley (Ind)</t>
  </si>
  <si>
    <t>ALEX BRESKIN</t>
  </si>
  <si>
    <t>TIM RICHARDSON</t>
  </si>
  <si>
    <t>LORRAINE WREFORD</t>
  </si>
  <si>
    <t>JORDAN CROOK</t>
  </si>
  <si>
    <t>Jordan Crook (Ind)</t>
  </si>
  <si>
    <t>Dandenong</t>
  </si>
  <si>
    <t>MIKE CLARKE</t>
  </si>
  <si>
    <t>MARK VERSCHUUR</t>
  </si>
  <si>
    <t>JAMES MERLINO</t>
  </si>
  <si>
    <t>Monbulk (*)</t>
  </si>
  <si>
    <t>Jeremy Graham</t>
  </si>
  <si>
    <t>GEORGE VARUGHESE</t>
  </si>
  <si>
    <t>LILY D'AMBROSIO</t>
  </si>
  <si>
    <t>Danny Lee</t>
  </si>
  <si>
    <t>Ali Cupper</t>
  </si>
  <si>
    <t>JO CLUTTERBUCK</t>
  </si>
  <si>
    <t>Danny Lee (ACA)</t>
  </si>
  <si>
    <t>Ali Cupper (Ind)</t>
  </si>
  <si>
    <t>Jo Clutterbuck (Ind)</t>
  </si>
  <si>
    <t>IND</t>
  </si>
  <si>
    <t>Morgana Russell</t>
  </si>
  <si>
    <t>SHANE ROBERTS</t>
  </si>
  <si>
    <t>PETER CRISP</t>
  </si>
  <si>
    <t>MABOR CHADHUOL</t>
  </si>
  <si>
    <t>MONIKA THOMAS</t>
  </si>
  <si>
    <t>MATT DELEON</t>
  </si>
  <si>
    <t>Monika Thomas (Ind)</t>
  </si>
  <si>
    <t>Matt DeLeon (Ind)</t>
  </si>
  <si>
    <t>Mabor Chadhuol (AC)</t>
  </si>
  <si>
    <t>Croydon</t>
  </si>
  <si>
    <t>Marie-Anne Cooper</t>
  </si>
  <si>
    <t>Daryl Lang</t>
  </si>
  <si>
    <t>DON NARDELLA</t>
  </si>
  <si>
    <t>Joël Murray</t>
  </si>
  <si>
    <t>ELLEN SANDELL</t>
  </si>
  <si>
    <t>ED HUNTINGFORD</t>
  </si>
  <si>
    <t>JENNIFER KANIS</t>
  </si>
  <si>
    <t>JAMES BENNETT</t>
  </si>
  <si>
    <t>LES TARCZON</t>
  </si>
  <si>
    <t>MICHAEL O'BRIEN</t>
  </si>
  <si>
    <t>Joe Morabito</t>
  </si>
  <si>
    <t>Joe Morabito (Ind)</t>
  </si>
  <si>
    <t>Cranbourne</t>
  </si>
  <si>
    <t>Macedon/Gisborne</t>
  </si>
  <si>
    <t>JOANNE DUNCAN</t>
  </si>
  <si>
    <t>NEIL BARKER</t>
  </si>
  <si>
    <t>MARY-ANNE THOMAS</t>
  </si>
  <si>
    <t>DONNA PETROVICH</t>
  </si>
  <si>
    <t>STEVE PRICE</t>
  </si>
  <si>
    <t>KATRINA RAINSFORD</t>
  </si>
  <si>
    <t>Katrina Rainsford (Ind)</t>
  </si>
  <si>
    <t>Steve Price (ACA)</t>
  </si>
  <si>
    <t>Lowan/Wimmera</t>
  </si>
  <si>
    <t>HUGH DELAHUNTY</t>
  </si>
  <si>
    <t>NKANDU BELTZ</t>
  </si>
  <si>
    <t>BOB SCATES</t>
  </si>
  <si>
    <t>EMMA KEALY</t>
  </si>
  <si>
    <t>George Reed</t>
  </si>
  <si>
    <t>George Reed (ACA)</t>
  </si>
  <si>
    <t>Clarinda</t>
  </si>
  <si>
    <t>Lara/Geelong North</t>
  </si>
  <si>
    <t>GREG LACEY</t>
  </si>
  <si>
    <t>TONY McMANUS</t>
  </si>
  <si>
    <t>JOHN EREN</t>
  </si>
  <si>
    <t>SHASHI TURNER</t>
  </si>
  <si>
    <t>Shashi Turner (Ind)</t>
  </si>
  <si>
    <t>Philip Hill</t>
  </si>
  <si>
    <t>GORAN KESIC</t>
  </si>
  <si>
    <t>MARLENE KAIROUZ</t>
  </si>
  <si>
    <t>Lyndhurst/Springvale</t>
  </si>
  <si>
    <t>Susan Fyfield</t>
  </si>
  <si>
    <t>ADRIANNE FLEMING</t>
  </si>
  <si>
    <t>MARTIN PAKULA</t>
  </si>
  <si>
    <t>LIBVAC</t>
  </si>
  <si>
    <t>Caulfield</t>
  </si>
  <si>
    <t>ANDREW McINTOSH</t>
  </si>
  <si>
    <t>LYNN FRANKES</t>
  </si>
  <si>
    <t>JAMES GAFFEY</t>
  </si>
  <si>
    <t>TIM SMITH</t>
  </si>
  <si>
    <t>GURMEN DER GREWAL</t>
  </si>
  <si>
    <t>Gurmender Grewal (AC)</t>
  </si>
  <si>
    <t>PAUL KENNEDY</t>
  </si>
  <si>
    <t>CARL ZIEBELL</t>
  </si>
  <si>
    <t>ANTHONY CARBINES</t>
  </si>
  <si>
    <t>Carrum</t>
  </si>
  <si>
    <t>TED BAILLIEU</t>
  </si>
  <si>
    <t>TIM HARTNETT</t>
  </si>
  <si>
    <t>JOHN McNALLY</t>
  </si>
  <si>
    <t>JOHN PESUTTO</t>
  </si>
  <si>
    <t>DEREK FAGAN</t>
  </si>
  <si>
    <t>STEVEN HOSKING</t>
  </si>
  <si>
    <t>NEALE BURGESS</t>
  </si>
  <si>
    <t>DEBBIE MEESTER</t>
  </si>
  <si>
    <t>Debbie Meester (ACA)</t>
  </si>
  <si>
    <t>Burwood</t>
  </si>
  <si>
    <t>Ian Onley</t>
  </si>
  <si>
    <t>PETER RYAN</t>
  </si>
  <si>
    <t>NATSOPWIN</t>
  </si>
  <si>
    <t>Leigh McDonald</t>
  </si>
  <si>
    <t>Leigh McDonald (Ind)</t>
  </si>
  <si>
    <t>SCOTT CAMPBELL-SMITH</t>
  </si>
  <si>
    <t>TIM BULL</t>
  </si>
  <si>
    <t>Gippsland East</t>
  </si>
  <si>
    <t>Alan Stoops</t>
  </si>
  <si>
    <t>Alan Stoops (ACA)</t>
  </si>
  <si>
    <t>Gembrook/Pakenham</t>
  </si>
  <si>
    <t>MICHAEL SCHILLING</t>
  </si>
  <si>
    <t>COLLIN ROSS</t>
  </si>
  <si>
    <t>BRAD BATTIN</t>
  </si>
  <si>
    <t>Sarah Hathway</t>
  </si>
  <si>
    <t>TONY LEEN</t>
  </si>
  <si>
    <t>Doug Mann</t>
  </si>
  <si>
    <t>Doug Mann (Ind)</t>
  </si>
  <si>
    <t>Tony Leen (ACA)</t>
  </si>
  <si>
    <t>Buninyong</t>
  </si>
  <si>
    <t>IAN TREZISE</t>
  </si>
  <si>
    <t>BRUCE LINDSAY</t>
  </si>
  <si>
    <t>CHRISTINE COUZENS</t>
  </si>
  <si>
    <t>PAULA KONTELJ</t>
  </si>
  <si>
    <t>NONE</t>
  </si>
  <si>
    <t>ANTHONY WALLACE</t>
  </si>
  <si>
    <t>Reade Smith (Ind)</t>
  </si>
  <si>
    <t>Anthony Wallace (AC)</t>
  </si>
  <si>
    <t>Geoff Shaw (Ind)</t>
  </si>
  <si>
    <t>IND v LIB v ALP</t>
  </si>
  <si>
    <t>JEANETTE SWAIN</t>
  </si>
  <si>
    <t>PAUL EDBROOKE</t>
  </si>
  <si>
    <t>SEAN ARMISTEAD</t>
  </si>
  <si>
    <t>GEOFF SHAW</t>
  </si>
  <si>
    <t>IND LIB v ALP</t>
  </si>
  <si>
    <t>Frankston (*)</t>
  </si>
  <si>
    <t>Bundoora</t>
  </si>
  <si>
    <t>BREWIS ATKINSON</t>
  </si>
  <si>
    <t>PAULINE RICHARDS</t>
  </si>
  <si>
    <t>NEIL ANGUS</t>
  </si>
  <si>
    <t>KEN BETTS</t>
  </si>
  <si>
    <t>Ken Betts (Ind)</t>
  </si>
  <si>
    <t>ROD SWIFT</t>
  </si>
  <si>
    <t>Kim Vu</t>
  </si>
  <si>
    <t>MARSHA THOMSON</t>
  </si>
  <si>
    <t>Ferntree Gully/Knox</t>
  </si>
  <si>
    <t>STEVE RAYMOND</t>
  </si>
  <si>
    <t>MATTHEW POSETTI</t>
  </si>
  <si>
    <t>NICK WAKELING</t>
  </si>
  <si>
    <t>DAMIEN DE PYLE</t>
  </si>
  <si>
    <t>Damien de Pyle (AC)</t>
  </si>
  <si>
    <t>Bulleen</t>
  </si>
  <si>
    <t>SANDRA BETTS</t>
  </si>
  <si>
    <t>PETER HARRIS</t>
  </si>
  <si>
    <t>CHRISTINE FYFFE</t>
  </si>
  <si>
    <t>Lisa Adams</t>
  </si>
  <si>
    <t>Lisa Adams (ACA)</t>
  </si>
  <si>
    <t>LIB v NAT v ALP</t>
  </si>
  <si>
    <t>Brunswick</t>
  </si>
  <si>
    <t>Benalla</t>
  </si>
  <si>
    <t>BILL SYKES (BENALLA)</t>
  </si>
  <si>
    <t>Simon Roberts</t>
  </si>
  <si>
    <t>CLARE MALCOLM</t>
  </si>
  <si>
    <t>STEPH RYAN</t>
  </si>
  <si>
    <t>TONY SCHNEIDER</t>
  </si>
  <si>
    <t>Mario Mendez (Ind)</t>
  </si>
  <si>
    <t>JUSTIN MADDEN</t>
  </si>
  <si>
    <t>ASHLEY WAITE</t>
  </si>
  <si>
    <t>DANNY PEARSON</t>
  </si>
  <si>
    <t>FRED ACKERMAN</t>
  </si>
  <si>
    <t>MICHAEL JANSON</t>
  </si>
  <si>
    <t>Michael Janson (AC)</t>
  </si>
  <si>
    <t>Broadmeadows</t>
  </si>
  <si>
    <t>LIEZL SHNOOKAL</t>
  </si>
  <si>
    <t>STEVEN BRIFFA</t>
  </si>
  <si>
    <t>VICKI WARD</t>
  </si>
  <si>
    <t>JEFFREY LEAKE</t>
  </si>
  <si>
    <t>BRUCE ARGYLE</t>
  </si>
  <si>
    <t>Jeffrey Leake (ACA)</t>
  </si>
  <si>
    <t>Bruce Argyle (Ind)</t>
  </si>
  <si>
    <t>Seymour</t>
  </si>
  <si>
    <t>MARIE SELLSTROM</t>
  </si>
  <si>
    <t>SALLY BRENNAN</t>
  </si>
  <si>
    <t>JIM CHILD</t>
  </si>
  <si>
    <t>CINDY McLEISH</t>
  </si>
  <si>
    <t>Brighton</t>
  </si>
  <si>
    <t>JOHN PANDAZOPOULOS</t>
  </si>
  <si>
    <t>JOHN GULZARI</t>
  </si>
  <si>
    <t>GABRIELLE WILLIAMS</t>
  </si>
  <si>
    <t>JOANNA PALATSIDES</t>
  </si>
  <si>
    <t>SARAH BARCLAY</t>
  </si>
  <si>
    <t>MIKE BROWN</t>
  </si>
  <si>
    <t>Mike Brown (AC)</t>
  </si>
  <si>
    <t>Sarah Barclay (ACA)</t>
  </si>
  <si>
    <t>Kilsyth/Mooroolbark</t>
  </si>
  <si>
    <t>JILL WILD</t>
  </si>
  <si>
    <t>LESLEY FIELDING</t>
  </si>
  <si>
    <t>DAVID HODGETT</t>
  </si>
  <si>
    <t>Box Hill</t>
  </si>
  <si>
    <t>Nakaraj Nayak</t>
  </si>
  <si>
    <t>GEOFF ABLETT</t>
  </si>
  <si>
    <t>JUDE PERERA</t>
  </si>
  <si>
    <t>JAMES TALBOT-KAMOEN</t>
  </si>
  <si>
    <t>GANDHI BEVINAKOPPA</t>
  </si>
  <si>
    <t>HONG LIM</t>
  </si>
  <si>
    <t>LIBSOPVAC</t>
  </si>
  <si>
    <t>TIM BAXTER</t>
  </si>
  <si>
    <t>JOSH BURNS</t>
  </si>
  <si>
    <t>DAVID SOUTHWICK</t>
  </si>
  <si>
    <t>Bentleigh</t>
  </si>
  <si>
    <t>HENRY KELSALL</t>
  </si>
  <si>
    <t>SONYA KILKENNY</t>
  </si>
  <si>
    <t>DONNA BAUER</t>
  </si>
  <si>
    <t>BECK STUART</t>
  </si>
  <si>
    <t>GAVIN RYAN</t>
  </si>
  <si>
    <t>GRAHAM WATT</t>
  </si>
  <si>
    <t>Bendigo West</t>
  </si>
  <si>
    <t>TONY GOODFELLOW</t>
  </si>
  <si>
    <t>SONIA SMITH</t>
  </si>
  <si>
    <t>BEN TAYLOR</t>
  </si>
  <si>
    <t>GEOFF HOWARD</t>
  </si>
  <si>
    <t>Bendigo East</t>
  </si>
  <si>
    <t>CLEMENT STANYON</t>
  </si>
  <si>
    <t>AMITA GILL</t>
  </si>
  <si>
    <t>COLIN BROOKS</t>
  </si>
  <si>
    <t>ELENI ARAPOGLOU</t>
  </si>
  <si>
    <t>Eleni Arapoglou (AC)</t>
  </si>
  <si>
    <t>NICHOLAS KOTSIRAS</t>
  </si>
  <si>
    <t>BEN CRONLY</t>
  </si>
  <si>
    <t>ADAM RUNDELL</t>
  </si>
  <si>
    <t>MATTHEW GUY</t>
  </si>
  <si>
    <t>Ward Young</t>
  </si>
  <si>
    <t>Stella Kariofyllidis</t>
  </si>
  <si>
    <t>DEAN O'CALLAGHAN</t>
  </si>
  <si>
    <t>Dean O'Callaghan (Ind)</t>
  </si>
  <si>
    <t>ALP vs GRN</t>
  </si>
  <si>
    <t>Benambra</t>
  </si>
  <si>
    <t>Brunswick/Coburg</t>
  </si>
  <si>
    <t>TIM READ</t>
  </si>
  <si>
    <t>Giuseppe Vellotti</t>
  </si>
  <si>
    <t>JANE GARRETT</t>
  </si>
  <si>
    <t>LIB TBA</t>
  </si>
  <si>
    <t>Bellarine</t>
  </si>
  <si>
    <t>JAIME DE LOMA-OSORIO RICON</t>
  </si>
  <si>
    <t>FRANK McGUIRE</t>
  </si>
  <si>
    <t>MARGARET BEAVIS</t>
  </si>
  <si>
    <t>LOUISE CRAWFORD</t>
  </si>
  <si>
    <t>LOUISE ASHER</t>
  </si>
  <si>
    <t>Bayswater</t>
  </si>
  <si>
    <t>BILL PEMBERTON</t>
  </si>
  <si>
    <t>STEFFANIE PERRI</t>
  </si>
  <si>
    <t>ROBERT CLARK</t>
  </si>
  <si>
    <t>Sophie Telemzouguer</t>
  </si>
  <si>
    <t>CHANDRA OJHA</t>
  </si>
  <si>
    <t>Chandra Ojha (Ind)</t>
  </si>
  <si>
    <t>SEAN MULCAHY</t>
  </si>
  <si>
    <t>NICK STAIKOS</t>
  </si>
  <si>
    <t>ELIZABETH MILLER</t>
  </si>
  <si>
    <t>Elise Chapman</t>
  </si>
  <si>
    <t>Elise Chapman (ACA)</t>
  </si>
  <si>
    <t>JOHN BROWNSTEIN</t>
  </si>
  <si>
    <t>MICHAEL LANGDON</t>
  </si>
  <si>
    <t>MAREE EDWARDS</t>
  </si>
  <si>
    <t>JENNIFER ALDEN</t>
  </si>
  <si>
    <t>GREG BICKLEY</t>
  </si>
  <si>
    <t>JACINTA ALLAN</t>
  </si>
  <si>
    <t>Phil Rourke</t>
  </si>
  <si>
    <t>Phil Rourke (ACA)</t>
  </si>
  <si>
    <t>Bass</t>
  </si>
  <si>
    <t>JENNIFER PODESTA</t>
  </si>
  <si>
    <t>BILL TILLEY</t>
  </si>
  <si>
    <t>BRENTON PEAKE</t>
  </si>
  <si>
    <t>RON NELSON</t>
  </si>
  <si>
    <t>LISA NEVILLE</t>
  </si>
  <si>
    <t>Bellarine (*)</t>
  </si>
  <si>
    <t>Tristan Conway</t>
  </si>
  <si>
    <t>Tristan Conway (AC)</t>
  </si>
  <si>
    <t>JAMES TENNANT</t>
  </si>
  <si>
    <t>TONY DIB</t>
  </si>
  <si>
    <t>HEIDI VICTORIA</t>
  </si>
  <si>
    <t>CLARE LESERVE</t>
  </si>
  <si>
    <t>Clare LeServe (Ind)</t>
  </si>
  <si>
    <t>Altona</t>
  </si>
  <si>
    <t>Bass/Gippsland West</t>
  </si>
  <si>
    <t>KEN SMITH</t>
  </si>
  <si>
    <t>ROSS FAIRHURST</t>
  </si>
  <si>
    <t>SANJAY NATHAN</t>
  </si>
  <si>
    <t>BRIAN PAYNTER</t>
  </si>
  <si>
    <t>CHRIS DE BONO</t>
  </si>
  <si>
    <t>NIHAL SAMARA</t>
  </si>
  <si>
    <t>JILL HENNESSY</t>
  </si>
  <si>
    <t>Albert Park</t>
  </si>
  <si>
    <t>DAVID COLLIS</t>
  </si>
  <si>
    <t>SHANNON EELES</t>
  </si>
  <si>
    <t>MARTIN FOLEY</t>
  </si>
  <si>
    <t>ALP2PP</t>
  </si>
  <si>
    <t>ALP WIN PROB</t>
  </si>
  <si>
    <t>Result</t>
  </si>
  <si>
    <t>Adjustment</t>
  </si>
  <si>
    <t>Rural*Sophomore</t>
  </si>
  <si>
    <t>Sophomore</t>
  </si>
  <si>
    <t>Changed</t>
  </si>
  <si>
    <t>Vacant</t>
  </si>
  <si>
    <t>Sex Party</t>
  </si>
  <si>
    <t>AJP</t>
  </si>
  <si>
    <t>People Power</t>
  </si>
  <si>
    <t>Socialist Alliance</t>
  </si>
  <si>
    <t>Country Alliance</t>
  </si>
  <si>
    <t>Australian Christians</t>
  </si>
  <si>
    <t>Independent</t>
  </si>
  <si>
    <t>MedianAge</t>
  </si>
  <si>
    <t>MFY</t>
  </si>
  <si>
    <t>LOTE</t>
  </si>
  <si>
    <t>Mortaged</t>
  </si>
  <si>
    <t>School leavers</t>
  </si>
  <si>
    <t>1999R</t>
  </si>
  <si>
    <t>2010 SWING</t>
  </si>
  <si>
    <t>Nationals</t>
  </si>
  <si>
    <t>Liberal</t>
  </si>
  <si>
    <t>Animal Justice</t>
  </si>
  <si>
    <t>Change</t>
  </si>
  <si>
    <t>Pre-Redistribution ALP</t>
  </si>
  <si>
    <t>ALP 2PP</t>
  </si>
  <si>
    <t>(-0.010*VACANT)+(0.009*CHANGED)+(0.005*SOPHOMORE)+(0.008*RURALSOPHOMORE)</t>
  </si>
  <si>
    <t>FEDERAL 2010</t>
  </si>
  <si>
    <t>STATE 2010</t>
  </si>
  <si>
    <t>RETIRING</t>
  </si>
  <si>
    <t>CANDIDATES</t>
  </si>
  <si>
    <t>INCUMBENT</t>
  </si>
  <si>
    <t>PUP</t>
  </si>
  <si>
    <t>Other</t>
  </si>
  <si>
    <t>Total</t>
  </si>
  <si>
    <t>Remainder</t>
  </si>
  <si>
    <t>Male</t>
  </si>
  <si>
    <t>Female</t>
  </si>
  <si>
    <t>18-24</t>
  </si>
  <si>
    <t>25-39</t>
  </si>
  <si>
    <t>40-54</t>
  </si>
  <si>
    <t>55+</t>
  </si>
  <si>
    <t xml:space="preserve">                </t>
  </si>
  <si>
    <t>Mel</t>
  </si>
  <si>
    <t xml:space="preserve">Rest </t>
  </si>
  <si>
    <t xml:space="preserve">M </t>
  </si>
  <si>
    <t xml:space="preserve">F </t>
  </si>
  <si>
    <t xml:space="preserve">55+ </t>
  </si>
  <si>
    <t>Lib/Nat</t>
  </si>
  <si>
    <t xml:space="preserve">ALP </t>
  </si>
  <si>
    <t xml:space="preserve">Greens </t>
  </si>
  <si>
    <t xml:space="preserve">Napthine </t>
  </si>
  <si>
    <t xml:space="preserve">Andrews </t>
  </si>
  <si>
    <t xml:space="preserve">Other          </t>
  </si>
  <si>
    <t>Melbo</t>
  </si>
  <si>
    <t xml:space="preserve">Labor Party </t>
  </si>
  <si>
    <t xml:space="preserve">Liberal/ National Party </t>
  </si>
  <si>
    <t>Don't Know/Refused</t>
  </si>
  <si>
    <t>Health &amp; Hospitals</t>
  </si>
  <si>
    <t>Education</t>
  </si>
  <si>
    <t>Jobs &amp; Employment</t>
  </si>
  <si>
    <t>Managing finances</t>
  </si>
  <si>
    <t>Law &amp; order</t>
  </si>
  <si>
    <t>Environment</t>
  </si>
  <si>
    <t>Roads</t>
  </si>
  <si>
    <t>Most important</t>
  </si>
  <si>
    <t>ALP best</t>
  </si>
  <si>
    <t>L-NP best</t>
  </si>
  <si>
    <t>FAIRFAX/IPSOS</t>
  </si>
  <si>
    <t>Very important</t>
  </si>
  <si>
    <t>Economy</t>
  </si>
  <si>
    <t>Public transport (NEWSPOLL: + Roads)</t>
  </si>
  <si>
    <t>Climate change</t>
  </si>
  <si>
    <t>Water planning</t>
  </si>
  <si>
    <t>NEWSPOLL</t>
  </si>
  <si>
    <t>Understands the major issues</t>
  </si>
  <si>
    <t>Arrogant</t>
  </si>
  <si>
    <t>Decisive and strong</t>
  </si>
  <si>
    <t>Has a vision for Victoria</t>
  </si>
  <si>
    <t>Likeable</t>
  </si>
  <si>
    <t>Trustworthy</t>
  </si>
  <si>
    <t>In touch with the voters</t>
  </si>
  <si>
    <t>Experienced</t>
  </si>
  <si>
    <t>Napthine</t>
  </si>
  <si>
    <t>Andrews</t>
  </si>
  <si>
    <t>Ipsos</t>
  </si>
  <si>
    <t>ACCURACY</t>
  </si>
  <si>
    <t>COALITION</t>
  </si>
  <si>
    <t>L-NP 2PP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</si>
</sst>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\+#0.0%;\-#0.0%"/>
    <numFmt numFmtId="167" formatCode="\+#;\-#;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rgb="FF0049B3"/>
      <name val="Arial"/>
      <family val="2"/>
    </font>
    <font>
      <sz val="9"/>
      <color theme="1"/>
      <name val="Arial"/>
      <family val="2"/>
    </font>
    <font>
      <b/>
      <sz val="9"/>
      <color rgb="FF8C0000"/>
      <name val="Arial"/>
      <family val="2"/>
    </font>
    <font>
      <b/>
      <sz val="9"/>
      <color rgb="FF006000"/>
      <name val="Arial"/>
      <family val="2"/>
    </font>
    <font>
      <b/>
      <sz val="9"/>
      <color theme="1" tint="0.49998474074526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DC3912"/>
      <name val="Calibri"/>
      <family val="2"/>
      <scheme val="minor"/>
    </font>
    <font>
      <b/>
      <sz val="11"/>
      <color rgb="FF3366CC"/>
      <name val="Calibri"/>
      <family val="2"/>
      <scheme val="minor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rgb="FFFFDADA"/>
        <bgColor indexed="64"/>
      </patternFill>
    </fill>
    <fill>
      <patternFill patternType="solid">
        <fgColor rgb="FFDAE9FF"/>
        <bgColor auto="1"/>
      </patternFill>
    </fill>
    <fill>
      <patternFill patternType="solid">
        <fgColor rgb="FFDAE9FF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C1C1C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14" fontId="0" fillId="0" borderId="0" xfId="0" applyNumberFormat="1"/>
    <xf numFmtId="14" fontId="0" fillId="0" borderId="0" xfId="0" applyNumberFormat="1" applyFont="1"/>
    <xf numFmtId="14" fontId="0" fillId="0" borderId="0" xfId="1" applyNumberFormat="1" applyFont="1"/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0" fillId="0" borderId="0" xfId="0" applyNumberFormat="1" applyFont="1"/>
    <xf numFmtId="0" fontId="7" fillId="2" borderId="2" xfId="1" applyFont="1" applyFill="1" applyBorder="1"/>
    <xf numFmtId="165" fontId="7" fillId="2" borderId="0" xfId="1" applyNumberFormat="1" applyFont="1" applyFill="1" applyBorder="1" applyAlignment="1">
      <alignment horizontal="center"/>
    </xf>
    <xf numFmtId="166" fontId="8" fillId="2" borderId="0" xfId="1" applyNumberFormat="1" applyFont="1" applyFill="1" applyBorder="1" applyAlignment="1">
      <alignment horizontal="center"/>
    </xf>
    <xf numFmtId="166" fontId="8" fillId="2" borderId="3" xfId="1" applyNumberFormat="1" applyFont="1" applyFill="1" applyBorder="1" applyAlignment="1">
      <alignment horizontal="center"/>
    </xf>
    <xf numFmtId="0" fontId="9" fillId="2" borderId="2" xfId="1" applyFont="1" applyFill="1" applyBorder="1"/>
    <xf numFmtId="165" fontId="9" fillId="2" borderId="0" xfId="1" applyNumberFormat="1" applyFont="1" applyFill="1" applyBorder="1" applyAlignment="1">
      <alignment horizontal="center"/>
    </xf>
    <xf numFmtId="0" fontId="10" fillId="2" borderId="2" xfId="1" applyFont="1" applyFill="1" applyBorder="1"/>
    <xf numFmtId="165" fontId="10" fillId="2" borderId="0" xfId="1" applyNumberFormat="1" applyFont="1" applyFill="1" applyBorder="1" applyAlignment="1">
      <alignment horizontal="center"/>
    </xf>
    <xf numFmtId="0" fontId="11" fillId="2" borderId="2" xfId="1" applyFont="1" applyFill="1" applyBorder="1"/>
    <xf numFmtId="165" fontId="11" fillId="2" borderId="0" xfId="1" applyNumberFormat="1" applyFont="1" applyFill="1" applyBorder="1" applyAlignment="1">
      <alignment horizontal="center"/>
    </xf>
    <xf numFmtId="0" fontId="12" fillId="3" borderId="2" xfId="1" applyFont="1" applyFill="1" applyBorder="1"/>
    <xf numFmtId="165" fontId="12" fillId="3" borderId="0" xfId="1" applyNumberFormat="1" applyFont="1" applyFill="1" applyBorder="1" applyAlignment="1">
      <alignment horizontal="center"/>
    </xf>
    <xf numFmtId="166" fontId="13" fillId="3" borderId="0" xfId="1" applyNumberFormat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/>
    </xf>
    <xf numFmtId="0" fontId="5" fillId="2" borderId="2" xfId="1" applyFont="1" applyFill="1" applyBorder="1"/>
    <xf numFmtId="0" fontId="5" fillId="2" borderId="0" xfId="1" applyFont="1" applyFill="1" applyBorder="1"/>
    <xf numFmtId="0" fontId="5" fillId="2" borderId="3" xfId="1" applyFont="1" applyFill="1" applyBorder="1"/>
    <xf numFmtId="0" fontId="6" fillId="2" borderId="0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1" fontId="12" fillId="3" borderId="0" xfId="1" applyNumberFormat="1" applyFont="1" applyFill="1" applyBorder="1" applyAlignment="1">
      <alignment horizontal="center"/>
    </xf>
    <xf numFmtId="167" fontId="8" fillId="3" borderId="0" xfId="1" applyNumberFormat="1" applyFont="1" applyFill="1" applyBorder="1" applyAlignment="1">
      <alignment horizontal="center"/>
    </xf>
    <xf numFmtId="167" fontId="8" fillId="3" borderId="3" xfId="1" applyNumberFormat="1" applyFont="1" applyFill="1" applyBorder="1" applyAlignment="1">
      <alignment horizontal="center"/>
    </xf>
    <xf numFmtId="165" fontId="15" fillId="2" borderId="0" xfId="1" applyNumberFormat="1" applyFont="1" applyFill="1" applyBorder="1"/>
    <xf numFmtId="166" fontId="5" fillId="2" borderId="0" xfId="1" applyNumberFormat="1" applyFont="1" applyFill="1" applyBorder="1"/>
    <xf numFmtId="165" fontId="0" fillId="0" borderId="0" xfId="0" applyNumberFormat="1"/>
    <xf numFmtId="164" fontId="0" fillId="0" borderId="0" xfId="0" applyNumberFormat="1"/>
    <xf numFmtId="9" fontId="0" fillId="0" borderId="0" xfId="0" applyNumberFormat="1"/>
    <xf numFmtId="0" fontId="16" fillId="0" borderId="0" xfId="0" applyFont="1"/>
    <xf numFmtId="1" fontId="0" fillId="0" borderId="0" xfId="0" applyNumberFormat="1"/>
    <xf numFmtId="165" fontId="16" fillId="0" borderId="0" xfId="0" applyNumberFormat="1" applyFont="1"/>
    <xf numFmtId="9" fontId="17" fillId="0" borderId="0" xfId="1" applyNumberFormat="1" applyFont="1"/>
    <xf numFmtId="165" fontId="17" fillId="0" borderId="0" xfId="1" applyNumberFormat="1" applyFont="1"/>
    <xf numFmtId="9" fontId="16" fillId="0" borderId="0" xfId="0" applyNumberFormat="1" applyFont="1"/>
    <xf numFmtId="164" fontId="16" fillId="0" borderId="0" xfId="0" applyNumberFormat="1" applyFont="1"/>
    <xf numFmtId="1" fontId="16" fillId="0" borderId="0" xfId="0" applyNumberFormat="1" applyFont="1"/>
    <xf numFmtId="165" fontId="2" fillId="0" borderId="0" xfId="0" applyNumberFormat="1" applyFont="1"/>
    <xf numFmtId="165" fontId="0" fillId="0" borderId="0" xfId="0" applyNumberFormat="1" applyFont="1"/>
    <xf numFmtId="0" fontId="3" fillId="0" borderId="0" xfId="0" applyFont="1"/>
    <xf numFmtId="9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165" fontId="3" fillId="0" borderId="0" xfId="0" applyNumberFormat="1" applyFont="1"/>
    <xf numFmtId="165" fontId="18" fillId="0" borderId="0" xfId="0" applyNumberFormat="1" applyFont="1"/>
    <xf numFmtId="0" fontId="2" fillId="0" borderId="0" xfId="0" applyFont="1"/>
    <xf numFmtId="0" fontId="19" fillId="0" borderId="0" xfId="0" applyFont="1"/>
    <xf numFmtId="165" fontId="19" fillId="0" borderId="0" xfId="0" applyNumberFormat="1" applyFont="1"/>
    <xf numFmtId="0" fontId="18" fillId="0" borderId="0" xfId="0" applyFont="1"/>
    <xf numFmtId="165" fontId="16" fillId="0" borderId="0" xfId="0" quotePrefix="1" applyNumberFormat="1" applyFont="1"/>
    <xf numFmtId="0" fontId="0" fillId="0" borderId="0" xfId="0" applyFont="1"/>
    <xf numFmtId="165" fontId="1" fillId="0" borderId="0" xfId="1" applyNumberFormat="1"/>
    <xf numFmtId="0" fontId="17" fillId="0" borderId="0" xfId="1" applyFont="1" applyFill="1"/>
    <xf numFmtId="0" fontId="17" fillId="0" borderId="0" xfId="1" applyFont="1"/>
    <xf numFmtId="0" fontId="1" fillId="0" borderId="0" xfId="1"/>
    <xf numFmtId="0" fontId="15" fillId="2" borderId="0" xfId="1" applyFont="1" applyFill="1" applyBorder="1"/>
    <xf numFmtId="0" fontId="6" fillId="2" borderId="0" xfId="1" applyFont="1" applyFill="1" applyBorder="1" applyAlignment="1">
      <alignment horizontal="center" vertical="top"/>
    </xf>
    <xf numFmtId="0" fontId="5" fillId="2" borderId="4" xfId="1" applyFont="1" applyFill="1" applyBorder="1"/>
    <xf numFmtId="0" fontId="6" fillId="2" borderId="4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top"/>
    </xf>
    <xf numFmtId="0" fontId="14" fillId="2" borderId="0" xfId="1" applyNumberFormat="1" applyFont="1" applyFill="1" applyBorder="1" applyAlignment="1">
      <alignment horizontal="center"/>
    </xf>
    <xf numFmtId="0" fontId="8" fillId="2" borderId="0" xfId="1" applyNumberFormat="1" applyFont="1" applyFill="1" applyBorder="1" applyAlignment="1">
      <alignment horizontal="center"/>
    </xf>
    <xf numFmtId="0" fontId="14" fillId="2" borderId="2" xfId="1" applyFont="1" applyFill="1" applyBorder="1"/>
    <xf numFmtId="0" fontId="8" fillId="2" borderId="3" xfId="1" applyNumberFormat="1" applyFont="1" applyFill="1" applyBorder="1" applyAlignment="1">
      <alignment horizontal="center"/>
    </xf>
    <xf numFmtId="16" fontId="6" fillId="2" borderId="0" xfId="1" applyNumberFormat="1" applyFont="1" applyFill="1" applyBorder="1" applyAlignment="1">
      <alignment horizontal="center"/>
    </xf>
    <xf numFmtId="0" fontId="20" fillId="0" borderId="0" xfId="0" applyFont="1"/>
    <xf numFmtId="0" fontId="21" fillId="0" borderId="0" xfId="0" applyFont="1"/>
    <xf numFmtId="2" fontId="1" fillId="0" borderId="0" xfId="1" applyNumberFormat="1"/>
    <xf numFmtId="2" fontId="1" fillId="0" borderId="0" xfId="1" applyNumberFormat="1" applyAlignment="1">
      <alignment horizontal="right"/>
    </xf>
    <xf numFmtId="0" fontId="12" fillId="4" borderId="2" xfId="1" applyFont="1" applyFill="1" applyBorder="1"/>
    <xf numFmtId="165" fontId="12" fillId="4" borderId="0" xfId="1" applyNumberFormat="1" applyFont="1" applyFill="1" applyBorder="1" applyAlignment="1">
      <alignment horizontal="center"/>
    </xf>
    <xf numFmtId="166" fontId="13" fillId="4" borderId="0" xfId="1" applyNumberFormat="1" applyFont="1" applyFill="1" applyBorder="1" applyAlignment="1">
      <alignment horizontal="center"/>
    </xf>
    <xf numFmtId="166" fontId="13" fillId="4" borderId="3" xfId="1" applyNumberFormat="1" applyFont="1" applyFill="1" applyBorder="1" applyAlignment="1">
      <alignment horizontal="center"/>
    </xf>
    <xf numFmtId="0" fontId="12" fillId="5" borderId="2" xfId="1" applyFont="1" applyFill="1" applyBorder="1"/>
    <xf numFmtId="1" fontId="12" fillId="5" borderId="0" xfId="1" applyNumberFormat="1" applyFont="1" applyFill="1" applyBorder="1" applyAlignment="1">
      <alignment horizontal="center"/>
    </xf>
    <xf numFmtId="167" fontId="8" fillId="5" borderId="0" xfId="1" applyNumberFormat="1" applyFont="1" applyFill="1" applyBorder="1" applyAlignment="1">
      <alignment horizontal="center"/>
    </xf>
    <xf numFmtId="167" fontId="8" fillId="5" borderId="3" xfId="1" applyNumberFormat="1" applyFont="1" applyFill="1" applyBorder="1" applyAlignment="1">
      <alignment horizontal="center"/>
    </xf>
    <xf numFmtId="0" fontId="0" fillId="0" borderId="0" xfId="0" applyNumberFormat="1"/>
    <xf numFmtId="15" fontId="4" fillId="0" borderId="0" xfId="0" applyNumberFormat="1" applyFont="1" applyAlignment="1">
      <alignment vertical="top" wrapText="1"/>
    </xf>
    <xf numFmtId="0" fontId="22" fillId="0" borderId="5" xfId="0" applyFont="1" applyBorder="1" applyAlignment="1">
      <alignment horizontal="center" vertical="top" wrapText="1"/>
    </xf>
    <xf numFmtId="15" fontId="4" fillId="0" borderId="1" xfId="0" applyNumberFormat="1" applyFont="1" applyBorder="1" applyAlignment="1">
      <alignment vertical="top" wrapText="1"/>
    </xf>
    <xf numFmtId="0" fontId="22" fillId="0" borderId="6" xfId="0" applyFont="1" applyBorder="1" applyAlignment="1">
      <alignment horizontal="center" vertical="top" wrapText="1"/>
    </xf>
    <xf numFmtId="0" fontId="22" fillId="0" borderId="0" xfId="0" applyFont="1" applyBorder="1" applyAlignment="1">
      <alignment horizontal="center" vertical="top" wrapText="1"/>
    </xf>
    <xf numFmtId="0" fontId="6" fillId="2" borderId="0" xfId="1" applyFont="1" applyFill="1" applyBorder="1" applyAlignment="1">
      <alignment horizontal="center" vertical="top"/>
    </xf>
    <xf numFmtId="0" fontId="6" fillId="2" borderId="3" xfId="1" applyFont="1" applyFill="1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3"/>
  <sheetViews>
    <sheetView tabSelected="1" workbookViewId="0">
      <pane xSplit="2" ySplit="2" topLeftCell="C39" activePane="bottomRight" state="frozen"/>
      <selection pane="topRight" activeCell="C1" sqref="C1"/>
      <selection pane="bottomLeft" activeCell="A3" sqref="A3"/>
      <selection pane="bottomRight" activeCell="I73" sqref="I73"/>
    </sheetView>
  </sheetViews>
  <sheetFormatPr defaultRowHeight="15" x14ac:dyDescent="0.25"/>
  <cols>
    <col min="1" max="1" width="10.7109375" bestFit="1" customWidth="1"/>
    <col min="2" max="2" width="10.7109375" customWidth="1"/>
    <col min="46" max="46" width="10.7109375" bestFit="1" customWidth="1"/>
    <col min="61" max="61" width="15.28515625" customWidth="1"/>
    <col min="66" max="67" width="10.7109375" bestFit="1" customWidth="1"/>
  </cols>
  <sheetData>
    <row r="1" spans="1:84" x14ac:dyDescent="0.25">
      <c r="H1" t="s">
        <v>12</v>
      </c>
      <c r="L1" t="s">
        <v>5</v>
      </c>
      <c r="M1" t="s">
        <v>5</v>
      </c>
      <c r="N1" t="s">
        <v>5</v>
      </c>
      <c r="P1" t="s">
        <v>6</v>
      </c>
      <c r="Q1" t="s">
        <v>6</v>
      </c>
      <c r="R1" t="s">
        <v>6</v>
      </c>
      <c r="T1" t="s">
        <v>7</v>
      </c>
      <c r="U1" t="s">
        <v>7</v>
      </c>
      <c r="V1" t="s">
        <v>7</v>
      </c>
      <c r="X1" t="s">
        <v>8</v>
      </c>
      <c r="Y1" t="s">
        <v>8</v>
      </c>
      <c r="Z1" t="s">
        <v>8</v>
      </c>
      <c r="AB1" t="s">
        <v>9</v>
      </c>
      <c r="AC1" t="s">
        <v>9</v>
      </c>
      <c r="AD1" t="s">
        <v>9</v>
      </c>
      <c r="AF1" t="s">
        <v>10</v>
      </c>
      <c r="AG1" t="s">
        <v>10</v>
      </c>
      <c r="AH1" t="s">
        <v>10</v>
      </c>
      <c r="AJ1" t="s">
        <v>714</v>
      </c>
      <c r="AK1" t="s">
        <v>714</v>
      </c>
      <c r="AL1" t="s">
        <v>714</v>
      </c>
    </row>
    <row r="2" spans="1:84" ht="11.25" customHeight="1" thickBot="1" x14ac:dyDescent="0.3">
      <c r="A2" t="s">
        <v>0</v>
      </c>
      <c r="B2" t="s">
        <v>11</v>
      </c>
      <c r="C2" t="s">
        <v>1</v>
      </c>
      <c r="D2" t="s">
        <v>2</v>
      </c>
      <c r="E2" t="s">
        <v>3</v>
      </c>
      <c r="F2" t="s">
        <v>4</v>
      </c>
      <c r="G2" t="s">
        <v>717</v>
      </c>
      <c r="H2" t="s">
        <v>2</v>
      </c>
      <c r="I2" t="s">
        <v>3</v>
      </c>
      <c r="J2" t="s">
        <v>4</v>
      </c>
      <c r="L2" t="s">
        <v>2</v>
      </c>
      <c r="M2" t="s">
        <v>3</v>
      </c>
      <c r="N2" t="s">
        <v>4</v>
      </c>
      <c r="P2" t="s">
        <v>2</v>
      </c>
      <c r="Q2" t="s">
        <v>3</v>
      </c>
      <c r="R2" t="s">
        <v>4</v>
      </c>
      <c r="T2" t="s">
        <v>2</v>
      </c>
      <c r="U2" t="s">
        <v>3</v>
      </c>
      <c r="V2" t="s">
        <v>4</v>
      </c>
      <c r="X2" t="s">
        <v>2</v>
      </c>
      <c r="Y2" t="s">
        <v>3</v>
      </c>
      <c r="Z2" t="s">
        <v>4</v>
      </c>
      <c r="AB2" t="s">
        <v>2</v>
      </c>
      <c r="AC2" t="s">
        <v>3</v>
      </c>
      <c r="AD2" t="s">
        <v>4</v>
      </c>
      <c r="AF2" t="s">
        <v>2</v>
      </c>
      <c r="AG2" t="s">
        <v>3</v>
      </c>
      <c r="AH2" t="s">
        <v>4</v>
      </c>
      <c r="AJ2" t="s">
        <v>2</v>
      </c>
      <c r="AK2" t="s">
        <v>3</v>
      </c>
      <c r="AL2" t="s">
        <v>4</v>
      </c>
      <c r="AO2" t="s">
        <v>2</v>
      </c>
      <c r="AP2" t="s">
        <v>3</v>
      </c>
      <c r="AQ2" t="s">
        <v>4</v>
      </c>
      <c r="AR2" t="s">
        <v>715</v>
      </c>
      <c r="AT2" t="s">
        <v>0</v>
      </c>
      <c r="AU2" t="s">
        <v>1</v>
      </c>
      <c r="AV2" t="s">
        <v>14</v>
      </c>
      <c r="AW2" t="s">
        <v>15</v>
      </c>
      <c r="AX2" t="s">
        <v>2</v>
      </c>
      <c r="AY2" t="s">
        <v>3</v>
      </c>
      <c r="AZ2" t="s">
        <v>4</v>
      </c>
      <c r="BA2" t="s">
        <v>13</v>
      </c>
    </row>
    <row r="3" spans="1:84" ht="11.25" customHeight="1" x14ac:dyDescent="0.25">
      <c r="A3" s="1">
        <v>40756</v>
      </c>
      <c r="B3" t="s">
        <v>5</v>
      </c>
      <c r="C3">
        <v>1150</v>
      </c>
      <c r="D3">
        <v>48</v>
      </c>
      <c r="E3">
        <v>28</v>
      </c>
      <c r="F3">
        <v>15</v>
      </c>
      <c r="AN3" t="s">
        <v>5</v>
      </c>
      <c r="AO3">
        <v>0.6</v>
      </c>
      <c r="AP3">
        <v>1</v>
      </c>
      <c r="AQ3">
        <v>-1</v>
      </c>
      <c r="AR3">
        <v>1</v>
      </c>
      <c r="AT3" s="1">
        <f t="shared" ref="AT3:AT5" si="0">A3</f>
        <v>40756</v>
      </c>
      <c r="AU3">
        <f>C3*INDEX($AR$3:$AR$9,MATCH(B3,AN$3:AN$9,0))</f>
        <v>1150</v>
      </c>
      <c r="AV3" s="6">
        <f t="shared" ref="AV3:AV5" si="1">AX3+(AZ3*0.19)+(BA3*0.607)</f>
        <v>56.358800000000009</v>
      </c>
      <c r="AW3" s="6">
        <f t="shared" ref="AW3:AW5" si="2">AY3+(AZ3*0.81)+(BA3*0.393)</f>
        <v>43.641200000000005</v>
      </c>
      <c r="AX3">
        <f t="shared" ref="AX3:AX34" si="3">D3+INDEX(AO$3:AO$9,MATCH($B3,$AN$3:$AN$9,0))</f>
        <v>48.6</v>
      </c>
      <c r="AY3">
        <f t="shared" ref="AY3:AY34" si="4">E3+INDEX(AP$3:AP$9,MATCH($B3,$AN$3:$AN$9,0))</f>
        <v>29</v>
      </c>
      <c r="AZ3">
        <f t="shared" ref="AZ3:AZ34" si="5">F3+INDEX(AQ$3:AQ$9,MATCH($B3,$AN$3:$AN$9,0))</f>
        <v>14</v>
      </c>
      <c r="BA3">
        <f t="shared" ref="BA3:BA5" si="6">100-SUM(AX3:AZ3)</f>
        <v>8.4000000000000057</v>
      </c>
      <c r="BD3" s="5">
        <v>48.275820000000003</v>
      </c>
      <c r="BE3" s="5">
        <v>30.032540000000001</v>
      </c>
      <c r="BF3" s="5">
        <v>14.12837</v>
      </c>
      <c r="BG3" s="34">
        <f t="shared" ref="BG3:BG5" si="7">100-SUM(BD3:BF3)</f>
        <v>7.5632699999999886</v>
      </c>
      <c r="BI3" s="22"/>
      <c r="BJ3" s="24"/>
      <c r="BK3" s="61"/>
      <c r="BL3" s="61"/>
      <c r="BS3" s="84">
        <v>1</v>
      </c>
      <c r="BT3" s="85">
        <v>40756</v>
      </c>
      <c r="BU3" s="5">
        <v>48.6</v>
      </c>
      <c r="BV3" s="5">
        <v>48.275820000000003</v>
      </c>
      <c r="BX3" s="84">
        <v>1</v>
      </c>
      <c r="BY3" s="85">
        <v>40756</v>
      </c>
      <c r="BZ3" s="5">
        <v>29</v>
      </c>
      <c r="CA3" s="5">
        <v>30.032540000000001</v>
      </c>
      <c r="CC3" s="84">
        <v>1</v>
      </c>
      <c r="CD3" s="85">
        <v>40756</v>
      </c>
      <c r="CE3" s="5">
        <v>14</v>
      </c>
      <c r="CF3" s="5">
        <v>14.12837</v>
      </c>
    </row>
    <row r="4" spans="1:84" ht="11.25" customHeight="1" x14ac:dyDescent="0.25">
      <c r="A4" s="1">
        <v>40817</v>
      </c>
      <c r="B4" t="s">
        <v>5</v>
      </c>
      <c r="C4">
        <v>1150</v>
      </c>
      <c r="D4">
        <v>47</v>
      </c>
      <c r="E4">
        <v>30</v>
      </c>
      <c r="F4">
        <v>15</v>
      </c>
      <c r="AN4" t="s">
        <v>6</v>
      </c>
      <c r="AO4">
        <v>0</v>
      </c>
      <c r="AP4">
        <v>-1.6</v>
      </c>
      <c r="AQ4">
        <v>0.5</v>
      </c>
      <c r="AR4">
        <v>0.37</v>
      </c>
      <c r="AT4" s="1">
        <f t="shared" si="0"/>
        <v>40817</v>
      </c>
      <c r="AU4">
        <f t="shared" ref="AU4:AU50" si="8">C4*INDEX($AR$3:$AR$9,MATCH(B4,AN$3:AN$9,0))</f>
        <v>1150</v>
      </c>
      <c r="AV4" s="6">
        <f t="shared" si="1"/>
        <v>54.75180000000001</v>
      </c>
      <c r="AW4" s="6">
        <f t="shared" si="2"/>
        <v>45.248200000000004</v>
      </c>
      <c r="AX4">
        <f t="shared" si="3"/>
        <v>47.6</v>
      </c>
      <c r="AY4">
        <f t="shared" si="4"/>
        <v>31</v>
      </c>
      <c r="AZ4">
        <f t="shared" si="5"/>
        <v>14</v>
      </c>
      <c r="BA4">
        <f t="shared" si="6"/>
        <v>7.4000000000000057</v>
      </c>
      <c r="BD4" s="4">
        <v>46.96508</v>
      </c>
      <c r="BE4" s="4">
        <v>31.245809999999999</v>
      </c>
      <c r="BF4" s="4">
        <v>13.99165</v>
      </c>
      <c r="BG4" s="34">
        <f t="shared" si="7"/>
        <v>7.7974600000000009</v>
      </c>
      <c r="BI4" s="62"/>
      <c r="BJ4" s="63"/>
      <c r="BK4" s="64"/>
      <c r="BL4" s="64"/>
      <c r="BS4" s="86">
        <v>2</v>
      </c>
      <c r="BT4" s="83">
        <v>40817</v>
      </c>
      <c r="BU4" s="4">
        <v>47.6</v>
      </c>
      <c r="BV4" s="4">
        <v>46.96508</v>
      </c>
      <c r="BX4" s="86">
        <v>2</v>
      </c>
      <c r="BY4" s="83">
        <v>40817</v>
      </c>
      <c r="BZ4" s="4">
        <v>31</v>
      </c>
      <c r="CA4" s="4">
        <v>31.245809999999999</v>
      </c>
      <c r="CC4" s="86">
        <v>2</v>
      </c>
      <c r="CD4" s="83">
        <v>40817</v>
      </c>
      <c r="CE4" s="4">
        <v>14</v>
      </c>
      <c r="CF4" s="4">
        <v>13.99165</v>
      </c>
    </row>
    <row r="5" spans="1:84" ht="11.25" customHeight="1" thickBot="1" x14ac:dyDescent="0.3">
      <c r="A5" s="1">
        <v>40878</v>
      </c>
      <c r="B5" t="s">
        <v>5</v>
      </c>
      <c r="C5">
        <v>1150</v>
      </c>
      <c r="D5">
        <v>43</v>
      </c>
      <c r="E5">
        <v>34</v>
      </c>
      <c r="F5">
        <v>15</v>
      </c>
      <c r="AN5" t="s">
        <v>7</v>
      </c>
      <c r="AO5">
        <v>-1.4042099999999997</v>
      </c>
      <c r="AP5">
        <v>-1.0444169999999999</v>
      </c>
      <c r="AQ5">
        <v>2.1358069999999998</v>
      </c>
      <c r="AR5">
        <v>0.55267960259880455</v>
      </c>
      <c r="AT5" s="1">
        <f t="shared" si="0"/>
        <v>40878</v>
      </c>
      <c r="AU5">
        <f t="shared" si="8"/>
        <v>1150</v>
      </c>
      <c r="AV5" s="6">
        <f t="shared" si="1"/>
        <v>50.75180000000001</v>
      </c>
      <c r="AW5" s="6">
        <f t="shared" si="2"/>
        <v>49.248200000000004</v>
      </c>
      <c r="AX5">
        <f t="shared" si="3"/>
        <v>43.6</v>
      </c>
      <c r="AY5">
        <f t="shared" si="4"/>
        <v>35</v>
      </c>
      <c r="AZ5">
        <f t="shared" si="5"/>
        <v>14</v>
      </c>
      <c r="BA5">
        <f t="shared" si="6"/>
        <v>7.4000000000000057</v>
      </c>
      <c r="BD5" s="4">
        <v>45.655810000000002</v>
      </c>
      <c r="BE5" s="4">
        <v>32.470280000000002</v>
      </c>
      <c r="BF5" s="4">
        <v>13.85492</v>
      </c>
      <c r="BG5" s="34">
        <f t="shared" si="7"/>
        <v>8.0189900000000023</v>
      </c>
      <c r="BI5" s="21"/>
      <c r="BJ5" s="24"/>
      <c r="BK5" s="88" t="s">
        <v>22</v>
      </c>
      <c r="BL5" s="89"/>
      <c r="BS5" s="86">
        <v>3</v>
      </c>
      <c r="BT5" s="83">
        <v>40878</v>
      </c>
      <c r="BU5" s="4">
        <v>43.6</v>
      </c>
      <c r="BV5" s="4">
        <v>45.655810000000002</v>
      </c>
      <c r="BX5" s="86">
        <v>3</v>
      </c>
      <c r="BY5" s="83">
        <v>40878</v>
      </c>
      <c r="BZ5" s="4">
        <v>35</v>
      </c>
      <c r="CA5" s="4">
        <v>32.470280000000002</v>
      </c>
      <c r="CC5" s="86">
        <v>3</v>
      </c>
      <c r="CD5" s="83">
        <v>40878</v>
      </c>
      <c r="CE5" s="4">
        <v>14</v>
      </c>
      <c r="CF5" s="4">
        <v>13.85492</v>
      </c>
    </row>
    <row r="6" spans="1:84" x14ac:dyDescent="0.25">
      <c r="A6" s="2">
        <v>40940</v>
      </c>
      <c r="B6" t="s">
        <v>5</v>
      </c>
      <c r="C6">
        <v>1160</v>
      </c>
      <c r="D6">
        <v>45</v>
      </c>
      <c r="E6">
        <v>33</v>
      </c>
      <c r="F6">
        <v>14.000000000000002</v>
      </c>
      <c r="H6" s="5">
        <v>44.5227</v>
      </c>
      <c r="I6" s="5">
        <v>33.38514</v>
      </c>
      <c r="J6" s="5">
        <v>14.790430000000001</v>
      </c>
      <c r="L6">
        <f t="shared" ref="L6:L49" si="9">IF($B6=L$1,$H6-$D6,"")</f>
        <v>-0.47729999999999961</v>
      </c>
      <c r="M6">
        <f t="shared" ref="M6:M49" si="10">IF($B6=M$1,$I6-$E6,"")</f>
        <v>0.38513999999999982</v>
      </c>
      <c r="N6">
        <f t="shared" ref="N6:N49" si="11">IF($B6=N$1,$J6-$F6,"")</f>
        <v>0.79042999999999886</v>
      </c>
      <c r="P6" t="str">
        <f t="shared" ref="P6:P49" si="12">IF($B6=P$1,$H6-$D6,"")</f>
        <v/>
      </c>
      <c r="Q6" t="str">
        <f t="shared" ref="Q6:Q49" si="13">IF($B6=Q$1,$I6-$E6,"")</f>
        <v/>
      </c>
      <c r="R6" t="str">
        <f t="shared" ref="R6:R49" si="14">IF($B6=R$1,$J6-$F6,"")</f>
        <v/>
      </c>
      <c r="T6" t="str">
        <f t="shared" ref="T6:T49" si="15">IF($B6=T$1,$H6-$D6,"")</f>
        <v/>
      </c>
      <c r="U6" t="str">
        <f t="shared" ref="U6:U49" si="16">IF($B6=U$1,$I6-$E6,"")</f>
        <v/>
      </c>
      <c r="V6" t="str">
        <f t="shared" ref="V6:V49" si="17">IF($B6=V$1,$J6-$F6,"")</f>
        <v/>
      </c>
      <c r="X6" t="str">
        <f t="shared" ref="X6:X49" si="18">IF($B6=X$1,$H6-$D6,"")</f>
        <v/>
      </c>
      <c r="Y6" t="str">
        <f t="shared" ref="Y6:Y49" si="19">IF($B6=Y$1,$I6-$E6,"")</f>
        <v/>
      </c>
      <c r="Z6" t="str">
        <f t="shared" ref="Z6:Z49" si="20">IF($B6=Z$1,$J6-$F6,"")</f>
        <v/>
      </c>
      <c r="AB6" t="str">
        <f t="shared" ref="AB6:AB49" si="21">IF($B6=AB$1,$H6-$D6,"")</f>
        <v/>
      </c>
      <c r="AC6" t="str">
        <f t="shared" ref="AC6:AC49" si="22">IF($B6=AC$1,$I6-$E6,"")</f>
        <v/>
      </c>
      <c r="AD6" t="str">
        <f t="shared" ref="AD6:AD49" si="23">IF($B6=AD$1,$J6-$F6,"")</f>
        <v/>
      </c>
      <c r="AF6" t="str">
        <f t="shared" ref="AF6:AF49" si="24">IF($B6=AF$1,$H6-$D6,"")</f>
        <v/>
      </c>
      <c r="AG6" t="str">
        <f t="shared" ref="AG6:AG49" si="25">IF($B6=AG$1,$I6-$E6,"")</f>
        <v/>
      </c>
      <c r="AH6" t="str">
        <f t="shared" ref="AH6:AH49" si="26">IF($B6=AH$1,$J6-$F6,"")</f>
        <v/>
      </c>
      <c r="AJ6" t="str">
        <f t="shared" ref="AJ6:AJ52" si="27">IF($B6=AJ$1,$H6-$D6,"")</f>
        <v/>
      </c>
      <c r="AK6" t="str">
        <f t="shared" ref="AK6:AK52" si="28">IF($B6=AK$1,$I6-$E6,"")</f>
        <v/>
      </c>
      <c r="AL6" t="str">
        <f t="shared" ref="AL6:AL52" si="29">IF($B6=AL$1,$J6-$F6,"")</f>
        <v/>
      </c>
      <c r="AN6" t="s">
        <v>8</v>
      </c>
      <c r="AO6">
        <v>0.8</v>
      </c>
      <c r="AP6">
        <v>0.6</v>
      </c>
      <c r="AQ6">
        <v>-2</v>
      </c>
      <c r="AR6" s="72">
        <f>0.448/0.436</f>
        <v>1.0275229357798166</v>
      </c>
      <c r="AT6" s="1">
        <f t="shared" ref="AT6:AT49" si="30">A6</f>
        <v>40940</v>
      </c>
      <c r="AU6">
        <f t="shared" si="8"/>
        <v>1160</v>
      </c>
      <c r="AV6" s="6">
        <f t="shared" ref="AV6:AV49" si="31">AX6+(AZ6*0.19)+(BA6*0.607)</f>
        <v>52.561800000000005</v>
      </c>
      <c r="AW6" s="6">
        <f t="shared" ref="AW6:AW49" si="32">AY6+(AZ6*0.81)+(BA6*0.393)</f>
        <v>47.438200000000002</v>
      </c>
      <c r="AX6">
        <f t="shared" si="3"/>
        <v>45.6</v>
      </c>
      <c r="AY6">
        <f t="shared" si="4"/>
        <v>34</v>
      </c>
      <c r="AZ6">
        <f t="shared" si="5"/>
        <v>13.000000000000002</v>
      </c>
      <c r="BA6">
        <f t="shared" ref="BA6:BA49" si="33">100-SUM(AX6:AZ6)</f>
        <v>7.4000000000000057</v>
      </c>
      <c r="BD6" s="4">
        <v>44.325069999999997</v>
      </c>
      <c r="BE6" s="4">
        <v>33.714829999999999</v>
      </c>
      <c r="BF6" s="4">
        <v>13.715949999999999</v>
      </c>
      <c r="BG6">
        <f t="shared" ref="BG6:BG56" si="34">100-SUM(BD6:BF6)</f>
        <v>8.244150000000019</v>
      </c>
      <c r="BI6" s="21"/>
      <c r="BJ6" s="69">
        <v>40874</v>
      </c>
      <c r="BK6" s="69">
        <v>40870</v>
      </c>
      <c r="BL6" s="25">
        <v>2010</v>
      </c>
      <c r="BN6" s="1">
        <v>41966</v>
      </c>
      <c r="BO6" s="1">
        <v>41963</v>
      </c>
      <c r="BP6" s="1">
        <v>41952</v>
      </c>
      <c r="BQ6">
        <v>41943</v>
      </c>
      <c r="BS6" s="86">
        <v>4</v>
      </c>
      <c r="BT6" s="83">
        <v>40940</v>
      </c>
      <c r="BU6" s="4">
        <v>45.6</v>
      </c>
      <c r="BV6" s="4">
        <v>44.325069999999997</v>
      </c>
      <c r="BX6" s="86">
        <v>4</v>
      </c>
      <c r="BY6" s="83">
        <v>40940</v>
      </c>
      <c r="BZ6" s="4">
        <v>34</v>
      </c>
      <c r="CA6" s="4">
        <v>33.714829999999999</v>
      </c>
      <c r="CC6" s="86">
        <v>4</v>
      </c>
      <c r="CD6" s="83">
        <v>40940</v>
      </c>
      <c r="CE6" s="4">
        <v>13</v>
      </c>
      <c r="CF6" s="4">
        <v>13.715949999999999</v>
      </c>
    </row>
    <row r="7" spans="1:84" x14ac:dyDescent="0.25">
      <c r="A7" s="2">
        <v>41000</v>
      </c>
      <c r="B7" t="s">
        <v>5</v>
      </c>
      <c r="C7">
        <v>1146</v>
      </c>
      <c r="D7">
        <v>42</v>
      </c>
      <c r="E7">
        <v>32</v>
      </c>
      <c r="F7">
        <v>17</v>
      </c>
      <c r="H7" s="4">
        <v>42.941369999999999</v>
      </c>
      <c r="I7" s="4">
        <v>34.066009999999999</v>
      </c>
      <c r="J7" s="4">
        <v>14.565289999999999</v>
      </c>
      <c r="L7">
        <f t="shared" si="9"/>
        <v>0.94136999999999915</v>
      </c>
      <c r="M7">
        <f t="shared" si="10"/>
        <v>2.0660099999999986</v>
      </c>
      <c r="N7">
        <f t="shared" si="11"/>
        <v>-2.4347100000000008</v>
      </c>
      <c r="P7" t="str">
        <f t="shared" si="12"/>
        <v/>
      </c>
      <c r="Q7" t="str">
        <f t="shared" si="13"/>
        <v/>
      </c>
      <c r="R7" t="str">
        <f t="shared" si="14"/>
        <v/>
      </c>
      <c r="T7" t="str">
        <f t="shared" si="15"/>
        <v/>
      </c>
      <c r="U7" t="str">
        <f t="shared" si="16"/>
        <v/>
      </c>
      <c r="V7" t="str">
        <f t="shared" si="17"/>
        <v/>
      </c>
      <c r="X7" t="str">
        <f t="shared" si="18"/>
        <v/>
      </c>
      <c r="Y7" t="str">
        <f t="shared" si="19"/>
        <v/>
      </c>
      <c r="Z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F7" t="str">
        <f t="shared" si="24"/>
        <v/>
      </c>
      <c r="AG7" t="str">
        <f t="shared" si="25"/>
        <v/>
      </c>
      <c r="AH7" t="str">
        <f t="shared" si="26"/>
        <v/>
      </c>
      <c r="AJ7" t="str">
        <f t="shared" si="27"/>
        <v/>
      </c>
      <c r="AK7" t="str">
        <f t="shared" si="28"/>
        <v/>
      </c>
      <c r="AL7" t="str">
        <f t="shared" si="29"/>
        <v/>
      </c>
      <c r="AN7" t="s">
        <v>9</v>
      </c>
      <c r="AO7">
        <v>0.7</v>
      </c>
      <c r="AP7">
        <v>-1.1000000000000001</v>
      </c>
      <c r="AQ7">
        <v>-1</v>
      </c>
      <c r="AR7" s="72">
        <f>0.493/0.436</f>
        <v>1.1307339449541285</v>
      </c>
      <c r="AT7" s="1">
        <f t="shared" si="30"/>
        <v>41000</v>
      </c>
      <c r="AU7">
        <f t="shared" si="8"/>
        <v>1146</v>
      </c>
      <c r="AV7" s="6">
        <f t="shared" si="31"/>
        <v>50.738800000000005</v>
      </c>
      <c r="AW7" s="6">
        <f t="shared" si="32"/>
        <v>49.261200000000002</v>
      </c>
      <c r="AX7">
        <f t="shared" si="3"/>
        <v>42.6</v>
      </c>
      <c r="AY7">
        <f t="shared" si="4"/>
        <v>33</v>
      </c>
      <c r="AZ7">
        <f t="shared" si="5"/>
        <v>16</v>
      </c>
      <c r="BA7">
        <f t="shared" si="33"/>
        <v>8.4000000000000057</v>
      </c>
      <c r="BD7" s="4">
        <v>43.122909999999997</v>
      </c>
      <c r="BE7" s="4">
        <v>34.773789999999998</v>
      </c>
      <c r="BF7" s="4">
        <v>13.581469999999999</v>
      </c>
      <c r="BG7">
        <f t="shared" si="34"/>
        <v>8.5218300000000085</v>
      </c>
      <c r="BI7" s="7" t="s">
        <v>16</v>
      </c>
      <c r="BJ7" s="8">
        <f>BD64</f>
        <v>0.4123</v>
      </c>
      <c r="BK7" s="9">
        <f t="shared" ref="BK7:BK12" si="35">BJ7-BN7</f>
        <v>1.5401500000000012E-2</v>
      </c>
      <c r="BL7" s="10">
        <f>BJ7-0.448</f>
        <v>-3.570000000000001E-2</v>
      </c>
      <c r="BN7">
        <v>0.39689849999999999</v>
      </c>
      <c r="BO7">
        <v>0.39442860000000002</v>
      </c>
      <c r="BP7">
        <v>0.39159849999999996</v>
      </c>
      <c r="BQ7">
        <v>0.39134169999999996</v>
      </c>
      <c r="BS7" s="86">
        <v>5</v>
      </c>
      <c r="BT7" s="83">
        <v>41000</v>
      </c>
      <c r="BU7" s="4">
        <v>42.6</v>
      </c>
      <c r="BV7" s="4">
        <v>43.122909999999997</v>
      </c>
      <c r="BX7" s="86">
        <v>5</v>
      </c>
      <c r="BY7" s="83">
        <v>41000</v>
      </c>
      <c r="BZ7" s="4">
        <v>33</v>
      </c>
      <c r="CA7" s="4">
        <v>34.773789999999998</v>
      </c>
      <c r="CC7" s="86">
        <v>5</v>
      </c>
      <c r="CD7" s="83">
        <v>41000</v>
      </c>
      <c r="CE7" s="4">
        <v>16</v>
      </c>
      <c r="CF7" s="4">
        <v>13.581469999999999</v>
      </c>
    </row>
    <row r="8" spans="1:84" x14ac:dyDescent="0.25">
      <c r="A8" s="2">
        <v>41122</v>
      </c>
      <c r="B8" t="s">
        <v>5</v>
      </c>
      <c r="C8">
        <v>1142</v>
      </c>
      <c r="D8">
        <v>41</v>
      </c>
      <c r="E8">
        <v>35</v>
      </c>
      <c r="F8">
        <v>13</v>
      </c>
      <c r="H8" s="4">
        <v>39.658279999999998</v>
      </c>
      <c r="I8" s="4">
        <v>35.45044</v>
      </c>
      <c r="J8" s="4">
        <v>14.107519999999999</v>
      </c>
      <c r="L8">
        <f t="shared" si="9"/>
        <v>-1.3417200000000022</v>
      </c>
      <c r="M8">
        <f t="shared" si="10"/>
        <v>0.4504400000000004</v>
      </c>
      <c r="N8">
        <f t="shared" si="11"/>
        <v>1.1075199999999992</v>
      </c>
      <c r="P8" t="str">
        <f t="shared" si="12"/>
        <v/>
      </c>
      <c r="Q8" t="str">
        <f t="shared" si="13"/>
        <v/>
      </c>
      <c r="R8" t="str">
        <f t="shared" si="14"/>
        <v/>
      </c>
      <c r="T8" t="str">
        <f t="shared" si="15"/>
        <v/>
      </c>
      <c r="U8" t="str">
        <f t="shared" si="16"/>
        <v/>
      </c>
      <c r="V8" t="str">
        <f t="shared" si="17"/>
        <v/>
      </c>
      <c r="X8" t="str">
        <f t="shared" si="18"/>
        <v/>
      </c>
      <c r="Y8" t="str">
        <f t="shared" si="19"/>
        <v/>
      </c>
      <c r="Z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F8" t="str">
        <f t="shared" si="24"/>
        <v/>
      </c>
      <c r="AG8" t="str">
        <f t="shared" si="25"/>
        <v/>
      </c>
      <c r="AH8" t="str">
        <f t="shared" si="26"/>
        <v/>
      </c>
      <c r="AJ8" t="str">
        <f t="shared" si="27"/>
        <v/>
      </c>
      <c r="AK8" t="str">
        <f t="shared" si="28"/>
        <v/>
      </c>
      <c r="AL8" t="str">
        <f t="shared" si="29"/>
        <v/>
      </c>
      <c r="AN8" t="s">
        <v>10</v>
      </c>
      <c r="AO8">
        <v>0.84628400000000137</v>
      </c>
      <c r="AP8">
        <v>3.9464939999999999</v>
      </c>
      <c r="AQ8">
        <v>-4.6089359999999999</v>
      </c>
      <c r="AR8" s="73">
        <v>0.36463849548638677</v>
      </c>
      <c r="AT8" s="1">
        <f t="shared" si="30"/>
        <v>41122</v>
      </c>
      <c r="AU8">
        <f t="shared" si="8"/>
        <v>1142</v>
      </c>
      <c r="AV8" s="6">
        <f t="shared" si="31"/>
        <v>50.192800000000005</v>
      </c>
      <c r="AW8" s="6">
        <f t="shared" si="32"/>
        <v>49.807200000000002</v>
      </c>
      <c r="AX8">
        <f t="shared" si="3"/>
        <v>41.6</v>
      </c>
      <c r="AY8">
        <f t="shared" si="4"/>
        <v>36</v>
      </c>
      <c r="AZ8">
        <f t="shared" si="5"/>
        <v>12</v>
      </c>
      <c r="BA8">
        <f t="shared" si="33"/>
        <v>10.400000000000006</v>
      </c>
      <c r="BD8" s="4">
        <v>40.678519999999999</v>
      </c>
      <c r="BE8" s="4">
        <v>36.927019999999999</v>
      </c>
      <c r="BF8" s="4">
        <v>13.308009999999999</v>
      </c>
      <c r="BG8">
        <f t="shared" si="34"/>
        <v>9.0864500000000135</v>
      </c>
      <c r="BI8" s="11" t="s">
        <v>17</v>
      </c>
      <c r="BJ8" s="12">
        <f>BE64</f>
        <v>0.38640000000000002</v>
      </c>
      <c r="BK8" s="9">
        <f t="shared" si="35"/>
        <v>-1.1892000000000014E-3</v>
      </c>
      <c r="BL8" s="10">
        <f>BJ8-0.362</f>
        <v>2.4400000000000033E-2</v>
      </c>
      <c r="BN8">
        <v>0.38758920000000002</v>
      </c>
      <c r="BO8">
        <v>0.38950249999999997</v>
      </c>
      <c r="BP8">
        <v>0.38387529999999997</v>
      </c>
      <c r="BQ8">
        <v>0.38204379999999999</v>
      </c>
      <c r="BS8" s="86">
        <v>6</v>
      </c>
      <c r="BT8" s="83">
        <v>41122</v>
      </c>
      <c r="BU8" s="4">
        <v>41.6</v>
      </c>
      <c r="BV8" s="4">
        <v>40.678519999999999</v>
      </c>
      <c r="BX8" s="86">
        <v>6</v>
      </c>
      <c r="BY8" s="83">
        <v>41122</v>
      </c>
      <c r="BZ8" s="4">
        <v>36</v>
      </c>
      <c r="CA8" s="4">
        <v>36.927019999999999</v>
      </c>
      <c r="CC8" s="86">
        <v>6</v>
      </c>
      <c r="CD8" s="83">
        <v>41122</v>
      </c>
      <c r="CE8" s="4">
        <v>12</v>
      </c>
      <c r="CF8" s="4">
        <v>13.308009999999999</v>
      </c>
    </row>
    <row r="9" spans="1:84" x14ac:dyDescent="0.25">
      <c r="A9" s="2">
        <v>41183</v>
      </c>
      <c r="B9" t="s">
        <v>5</v>
      </c>
      <c r="C9">
        <v>1158</v>
      </c>
      <c r="D9">
        <v>37</v>
      </c>
      <c r="E9">
        <v>41</v>
      </c>
      <c r="F9">
        <v>13</v>
      </c>
      <c r="H9" s="4">
        <v>38.58925</v>
      </c>
      <c r="I9" s="4">
        <v>36.118650000000002</v>
      </c>
      <c r="J9" s="4">
        <v>13.878640000000001</v>
      </c>
      <c r="L9">
        <f t="shared" si="9"/>
        <v>1.5892499999999998</v>
      </c>
      <c r="M9">
        <f t="shared" si="10"/>
        <v>-4.8813499999999976</v>
      </c>
      <c r="N9">
        <f t="shared" si="11"/>
        <v>0.87864000000000075</v>
      </c>
      <c r="P9" t="str">
        <f t="shared" si="12"/>
        <v/>
      </c>
      <c r="Q9" t="str">
        <f t="shared" si="13"/>
        <v/>
      </c>
      <c r="R9" t="str">
        <f t="shared" si="14"/>
        <v/>
      </c>
      <c r="T9" t="str">
        <f t="shared" si="15"/>
        <v/>
      </c>
      <c r="U9" t="str">
        <f t="shared" si="16"/>
        <v/>
      </c>
      <c r="V9" t="str">
        <f t="shared" si="17"/>
        <v/>
      </c>
      <c r="X9" t="str">
        <f t="shared" si="18"/>
        <v/>
      </c>
      <c r="Y9" t="str">
        <f t="shared" si="19"/>
        <v/>
      </c>
      <c r="Z9" t="str">
        <f t="shared" si="20"/>
        <v/>
      </c>
      <c r="AB9" t="str">
        <f t="shared" si="21"/>
        <v/>
      </c>
      <c r="AC9" t="str">
        <f t="shared" si="22"/>
        <v/>
      </c>
      <c r="AD9" t="str">
        <f t="shared" si="23"/>
        <v/>
      </c>
      <c r="AF9" t="str">
        <f t="shared" si="24"/>
        <v/>
      </c>
      <c r="AG9" t="str">
        <f t="shared" si="25"/>
        <v/>
      </c>
      <c r="AH9" t="str">
        <f t="shared" si="26"/>
        <v/>
      </c>
      <c r="AJ9" t="str">
        <f t="shared" si="27"/>
        <v/>
      </c>
      <c r="AK9" t="str">
        <f t="shared" si="28"/>
        <v/>
      </c>
      <c r="AL9" t="str">
        <f t="shared" si="29"/>
        <v/>
      </c>
      <c r="AN9" t="s">
        <v>714</v>
      </c>
      <c r="AO9">
        <v>-0.36254666666666441</v>
      </c>
      <c r="AP9">
        <v>1.9465000000000003</v>
      </c>
      <c r="AQ9">
        <v>-3.1059100000000002</v>
      </c>
      <c r="AR9">
        <v>0.41839274025688383</v>
      </c>
      <c r="AT9" s="1">
        <f t="shared" si="30"/>
        <v>41183</v>
      </c>
      <c r="AU9">
        <f t="shared" si="8"/>
        <v>1158</v>
      </c>
      <c r="AV9" s="6">
        <f t="shared" si="31"/>
        <v>44.978800000000007</v>
      </c>
      <c r="AW9" s="6">
        <f t="shared" si="32"/>
        <v>55.0212</v>
      </c>
      <c r="AX9">
        <f t="shared" si="3"/>
        <v>37.6</v>
      </c>
      <c r="AY9">
        <f t="shared" si="4"/>
        <v>42</v>
      </c>
      <c r="AZ9">
        <f t="shared" si="5"/>
        <v>12</v>
      </c>
      <c r="BA9">
        <f t="shared" si="33"/>
        <v>8.4000000000000057</v>
      </c>
      <c r="BD9" s="4">
        <v>39.464759999999998</v>
      </c>
      <c r="BE9" s="4">
        <v>38.003639999999997</v>
      </c>
      <c r="BF9" s="4">
        <v>13.171290000000001</v>
      </c>
      <c r="BG9">
        <f t="shared" si="34"/>
        <v>9.3603099999999984</v>
      </c>
      <c r="BI9" s="13" t="s">
        <v>18</v>
      </c>
      <c r="BJ9" s="14">
        <f>BF64</f>
        <v>0.1249</v>
      </c>
      <c r="BK9" s="9">
        <f t="shared" si="35"/>
        <v>-1.0901800000000003E-2</v>
      </c>
      <c r="BL9" s="10">
        <f>BJ9-0.112</f>
        <v>1.2899999999999995E-2</v>
      </c>
      <c r="BN9">
        <v>0.1358018</v>
      </c>
      <c r="BO9">
        <v>0.1343444</v>
      </c>
      <c r="BP9">
        <v>0.14170270000000001</v>
      </c>
      <c r="BQ9">
        <v>0.14318939999999999</v>
      </c>
      <c r="BS9" s="86">
        <v>7</v>
      </c>
      <c r="BT9" s="83">
        <v>41183</v>
      </c>
      <c r="BU9" s="4">
        <v>37.6</v>
      </c>
      <c r="BV9" s="4">
        <v>39.464759999999998</v>
      </c>
      <c r="BX9" s="86">
        <v>7</v>
      </c>
      <c r="BY9" s="83">
        <v>41183</v>
      </c>
      <c r="BZ9" s="4">
        <v>42</v>
      </c>
      <c r="CA9" s="4">
        <v>38.003639999999997</v>
      </c>
      <c r="CC9" s="86">
        <v>7</v>
      </c>
      <c r="CD9" s="83">
        <v>41183</v>
      </c>
      <c r="CE9" s="4">
        <v>12</v>
      </c>
      <c r="CF9" s="4">
        <v>13.171290000000001</v>
      </c>
    </row>
    <row r="10" spans="1:84" x14ac:dyDescent="0.25">
      <c r="A10" s="2">
        <v>41244</v>
      </c>
      <c r="B10" t="s">
        <v>5</v>
      </c>
      <c r="C10">
        <v>1162</v>
      </c>
      <c r="D10">
        <v>36</v>
      </c>
      <c r="E10">
        <v>38</v>
      </c>
      <c r="F10">
        <v>16</v>
      </c>
      <c r="H10" s="4">
        <v>37.520220000000002</v>
      </c>
      <c r="I10" s="4">
        <v>36.786850000000001</v>
      </c>
      <c r="J10" s="4">
        <v>13.649760000000001</v>
      </c>
      <c r="L10">
        <f t="shared" si="9"/>
        <v>1.5202200000000019</v>
      </c>
      <c r="M10">
        <f t="shared" si="10"/>
        <v>-1.2131499999999988</v>
      </c>
      <c r="N10">
        <f t="shared" si="11"/>
        <v>-2.3502399999999994</v>
      </c>
      <c r="P10" t="str">
        <f t="shared" si="12"/>
        <v/>
      </c>
      <c r="Q10" t="str">
        <f t="shared" si="13"/>
        <v/>
      </c>
      <c r="R10" t="str">
        <f t="shared" si="14"/>
        <v/>
      </c>
      <c r="T10" t="str">
        <f t="shared" si="15"/>
        <v/>
      </c>
      <c r="U10" t="str">
        <f t="shared" si="16"/>
        <v/>
      </c>
      <c r="V10" t="str">
        <f t="shared" si="17"/>
        <v/>
      </c>
      <c r="X10" t="str">
        <f t="shared" si="18"/>
        <v/>
      </c>
      <c r="Y10" t="str">
        <f t="shared" si="19"/>
        <v/>
      </c>
      <c r="Z10" t="str">
        <f t="shared" si="20"/>
        <v/>
      </c>
      <c r="AB10" t="str">
        <f t="shared" si="21"/>
        <v/>
      </c>
      <c r="AC10" t="str">
        <f t="shared" si="22"/>
        <v/>
      </c>
      <c r="AD10" t="str">
        <f t="shared" si="23"/>
        <v/>
      </c>
      <c r="AF10" t="str">
        <f t="shared" si="24"/>
        <v/>
      </c>
      <c r="AG10" t="str">
        <f t="shared" si="25"/>
        <v/>
      </c>
      <c r="AH10" t="str">
        <f t="shared" si="26"/>
        <v/>
      </c>
      <c r="AJ10" t="str">
        <f t="shared" si="27"/>
        <v/>
      </c>
      <c r="AK10" t="str">
        <f t="shared" si="28"/>
        <v/>
      </c>
      <c r="AL10" t="str">
        <f t="shared" si="29"/>
        <v/>
      </c>
      <c r="AT10" s="1">
        <f t="shared" si="30"/>
        <v>41244</v>
      </c>
      <c r="AU10">
        <f t="shared" si="8"/>
        <v>1162</v>
      </c>
      <c r="AV10" s="6">
        <f t="shared" si="31"/>
        <v>45.155800000000006</v>
      </c>
      <c r="AW10" s="6">
        <f t="shared" si="32"/>
        <v>54.844200000000001</v>
      </c>
      <c r="AX10">
        <f t="shared" si="3"/>
        <v>36.6</v>
      </c>
      <c r="AY10">
        <f t="shared" si="4"/>
        <v>39</v>
      </c>
      <c r="AZ10">
        <f t="shared" si="5"/>
        <v>15</v>
      </c>
      <c r="BA10">
        <f t="shared" si="33"/>
        <v>9.4000000000000057</v>
      </c>
      <c r="BD10" s="4">
        <v>39.619289999999999</v>
      </c>
      <c r="BE10" s="4">
        <v>38.141080000000002</v>
      </c>
      <c r="BF10" s="4">
        <v>13.0374</v>
      </c>
      <c r="BG10">
        <f t="shared" si="34"/>
        <v>9.2022300000000001</v>
      </c>
      <c r="BI10" s="15" t="s">
        <v>19</v>
      </c>
      <c r="BJ10" s="16">
        <f>1-SUM(BJ7:BJ9)</f>
        <v>7.6400000000000023E-2</v>
      </c>
      <c r="BK10" s="9">
        <f t="shared" si="35"/>
        <v>-3.310499999999994E-3</v>
      </c>
      <c r="BL10" s="10">
        <f>0-SUM(BL7:BL9)</f>
        <v>-1.6000000000000181E-3</v>
      </c>
      <c r="BN10">
        <v>7.9710500000000017E-2</v>
      </c>
      <c r="BO10">
        <v>8.1724499999999978E-2</v>
      </c>
      <c r="BP10">
        <v>8.2823500000000161E-2</v>
      </c>
      <c r="BQ10">
        <v>8.342510000000003E-2</v>
      </c>
      <c r="BS10" s="86">
        <v>8</v>
      </c>
      <c r="BT10" s="83">
        <v>41244</v>
      </c>
      <c r="BU10" s="4">
        <v>36.6</v>
      </c>
      <c r="BV10" s="4">
        <v>39.619289999999999</v>
      </c>
      <c r="BX10" s="86">
        <v>8</v>
      </c>
      <c r="BY10" s="83">
        <v>41244</v>
      </c>
      <c r="BZ10" s="4">
        <v>39</v>
      </c>
      <c r="CA10" s="4">
        <v>38.141080000000002</v>
      </c>
      <c r="CC10" s="86">
        <v>8</v>
      </c>
      <c r="CD10" s="83">
        <v>41244</v>
      </c>
      <c r="CE10" s="4">
        <v>15</v>
      </c>
      <c r="CF10" s="4">
        <v>13.0374</v>
      </c>
    </row>
    <row r="11" spans="1:84" x14ac:dyDescent="0.25">
      <c r="A11" s="2">
        <v>41244</v>
      </c>
      <c r="B11" t="s">
        <v>7</v>
      </c>
      <c r="C11">
        <v>1170</v>
      </c>
      <c r="D11">
        <v>43</v>
      </c>
      <c r="E11">
        <v>39</v>
      </c>
      <c r="F11">
        <v>11</v>
      </c>
      <c r="H11" s="4"/>
      <c r="I11" s="4"/>
      <c r="J11" s="4"/>
      <c r="AT11" s="1">
        <f t="shared" si="30"/>
        <v>41244</v>
      </c>
      <c r="AU11">
        <f t="shared" si="8"/>
        <v>646.63513504060131</v>
      </c>
      <c r="AV11" s="6">
        <f t="shared" si="31"/>
        <v>48.530475070000001</v>
      </c>
      <c r="AW11" s="6">
        <f t="shared" si="32"/>
        <v>51.469524929999999</v>
      </c>
      <c r="AX11">
        <f t="shared" si="3"/>
        <v>41.595790000000001</v>
      </c>
      <c r="AY11">
        <f t="shared" si="4"/>
        <v>37.955582999999997</v>
      </c>
      <c r="AZ11">
        <f t="shared" si="5"/>
        <v>13.135807</v>
      </c>
      <c r="BA11">
        <f t="shared" si="33"/>
        <v>7.3128200000000021</v>
      </c>
      <c r="BD11" s="4">
        <v>39.619289999999999</v>
      </c>
      <c r="BE11" s="4">
        <v>38.141080000000002</v>
      </c>
      <c r="BF11" s="4">
        <v>13.0374</v>
      </c>
      <c r="BG11">
        <f t="shared" si="34"/>
        <v>9.2022300000000001</v>
      </c>
      <c r="BI11" s="74" t="s">
        <v>716</v>
      </c>
      <c r="BJ11" s="75">
        <f>BJ7+(BJ9*0.19)+(BJ10*0.607)</f>
        <v>0.4824058</v>
      </c>
      <c r="BK11" s="76">
        <f>BJ11-BN11</f>
        <v>1.1320684500000011E-2</v>
      </c>
      <c r="BL11" s="77">
        <f>BJ11-0.5158</f>
        <v>-3.3394200000000041E-2</v>
      </c>
      <c r="BN11">
        <v>0.47108511549999998</v>
      </c>
      <c r="BO11">
        <v>0.46956080750000001</v>
      </c>
      <c r="BP11">
        <v>0.46879587750000007</v>
      </c>
      <c r="BQ11">
        <v>0.46918672169999998</v>
      </c>
      <c r="BS11" s="86">
        <v>9</v>
      </c>
      <c r="BT11" s="83">
        <v>41244</v>
      </c>
      <c r="BU11" s="4">
        <v>42.267940000000003</v>
      </c>
      <c r="BV11" s="4">
        <v>39.619289999999999</v>
      </c>
      <c r="BX11" s="86">
        <v>9</v>
      </c>
      <c r="BY11" s="83">
        <v>41244</v>
      </c>
      <c r="BZ11" s="4">
        <v>38.059289999999997</v>
      </c>
      <c r="CA11" s="4">
        <v>38.141080000000002</v>
      </c>
      <c r="CC11" s="86">
        <v>9</v>
      </c>
      <c r="CD11" s="83">
        <v>41244</v>
      </c>
      <c r="CE11" s="4">
        <v>13.5662</v>
      </c>
      <c r="CF11" s="4">
        <v>13.0374</v>
      </c>
    </row>
    <row r="12" spans="1:84" x14ac:dyDescent="0.25">
      <c r="A12" s="2">
        <v>41299</v>
      </c>
      <c r="B12" t="s">
        <v>6</v>
      </c>
      <c r="C12">
        <v>1164</v>
      </c>
      <c r="D12">
        <v>37.9</v>
      </c>
      <c r="E12">
        <v>36.799999999999997</v>
      </c>
      <c r="F12">
        <v>12.4</v>
      </c>
      <c r="H12" s="4">
        <v>39.761560000000003</v>
      </c>
      <c r="I12" s="4">
        <v>37.202559999999998</v>
      </c>
      <c r="J12" s="4">
        <v>13.44468</v>
      </c>
      <c r="L12" t="str">
        <f t="shared" si="9"/>
        <v/>
      </c>
      <c r="M12" t="str">
        <f t="shared" si="10"/>
        <v/>
      </c>
      <c r="N12" t="str">
        <f t="shared" si="11"/>
        <v/>
      </c>
      <c r="P12">
        <f t="shared" si="12"/>
        <v>1.8615600000000043</v>
      </c>
      <c r="Q12">
        <f t="shared" si="13"/>
        <v>0.40256000000000114</v>
      </c>
      <c r="R12">
        <f t="shared" si="14"/>
        <v>1.0446799999999996</v>
      </c>
      <c r="T12" t="str">
        <f t="shared" si="15"/>
        <v/>
      </c>
      <c r="U12" t="str">
        <f t="shared" si="16"/>
        <v/>
      </c>
      <c r="V12" t="str">
        <f t="shared" si="17"/>
        <v/>
      </c>
      <c r="X12" t="str">
        <f t="shared" si="18"/>
        <v/>
      </c>
      <c r="Y12" t="str">
        <f t="shared" si="19"/>
        <v/>
      </c>
      <c r="Z12" t="str">
        <f t="shared" si="20"/>
        <v/>
      </c>
      <c r="AB12" t="str">
        <f t="shared" si="21"/>
        <v/>
      </c>
      <c r="AC12" t="str">
        <f t="shared" si="22"/>
        <v/>
      </c>
      <c r="AD12" t="str">
        <f t="shared" si="23"/>
        <v/>
      </c>
      <c r="AF12" t="str">
        <f t="shared" si="24"/>
        <v/>
      </c>
      <c r="AG12" t="str">
        <f t="shared" si="25"/>
        <v/>
      </c>
      <c r="AH12" t="str">
        <f t="shared" si="26"/>
        <v/>
      </c>
      <c r="AJ12" t="str">
        <f t="shared" si="27"/>
        <v/>
      </c>
      <c r="AK12" t="str">
        <f t="shared" si="28"/>
        <v/>
      </c>
      <c r="AL12" t="str">
        <f t="shared" si="29"/>
        <v/>
      </c>
      <c r="AT12" s="1">
        <f t="shared" si="30"/>
        <v>41299</v>
      </c>
      <c r="AU12">
        <f t="shared" si="8"/>
        <v>430.68</v>
      </c>
      <c r="AV12" s="6">
        <f t="shared" si="31"/>
        <v>48.848999999999997</v>
      </c>
      <c r="AW12" s="6">
        <f t="shared" si="32"/>
        <v>51.151000000000003</v>
      </c>
      <c r="AX12">
        <f t="shared" si="3"/>
        <v>37.9</v>
      </c>
      <c r="AY12">
        <f t="shared" si="4"/>
        <v>35.199999999999996</v>
      </c>
      <c r="AZ12">
        <f t="shared" si="5"/>
        <v>12.9</v>
      </c>
      <c r="BA12">
        <f t="shared" si="33"/>
        <v>14</v>
      </c>
      <c r="BD12" s="4">
        <v>41.03013</v>
      </c>
      <c r="BE12" s="4">
        <v>37.497219999999999</v>
      </c>
      <c r="BF12" s="4">
        <v>12.916679999999999</v>
      </c>
      <c r="BG12">
        <f t="shared" si="34"/>
        <v>8.5559700000000021</v>
      </c>
      <c r="BI12" s="17" t="s">
        <v>20</v>
      </c>
      <c r="BJ12" s="18">
        <f>1-BJ11</f>
        <v>0.5175942</v>
      </c>
      <c r="BK12" s="19">
        <f t="shared" si="35"/>
        <v>-1.1320684500000011E-2</v>
      </c>
      <c r="BL12" s="20">
        <f>0-BL11</f>
        <v>3.3394200000000041E-2</v>
      </c>
      <c r="BN12">
        <v>0.52891488450000002</v>
      </c>
      <c r="BO12">
        <v>0.53043919250000005</v>
      </c>
      <c r="BP12">
        <v>0.53120412249999993</v>
      </c>
      <c r="BQ12">
        <v>0.53081327830000002</v>
      </c>
      <c r="BS12" s="86">
        <v>10</v>
      </c>
      <c r="BT12" s="83">
        <v>41299</v>
      </c>
      <c r="BU12" s="4">
        <v>37.9</v>
      </c>
      <c r="BV12" s="4">
        <v>41.03013</v>
      </c>
      <c r="BX12" s="86">
        <v>10</v>
      </c>
      <c r="BY12" s="83">
        <v>41299</v>
      </c>
      <c r="BZ12" s="4">
        <v>35.200000000000003</v>
      </c>
      <c r="CA12" s="4">
        <v>37.497219999999999</v>
      </c>
      <c r="CC12" s="86">
        <v>10</v>
      </c>
      <c r="CD12" s="83">
        <v>41299</v>
      </c>
      <c r="CE12" s="4">
        <v>12.9</v>
      </c>
      <c r="CF12" s="4">
        <v>12.916679999999999</v>
      </c>
    </row>
    <row r="13" spans="1:84" x14ac:dyDescent="0.25">
      <c r="A13" s="2">
        <v>41306</v>
      </c>
      <c r="B13" t="s">
        <v>5</v>
      </c>
      <c r="C13">
        <f>385*3</f>
        <v>1155</v>
      </c>
      <c r="D13">
        <v>39</v>
      </c>
      <c r="E13">
        <v>38</v>
      </c>
      <c r="F13">
        <v>13</v>
      </c>
      <c r="H13" s="4">
        <v>40.088970000000003</v>
      </c>
      <c r="I13" s="4">
        <v>37.178669999999997</v>
      </c>
      <c r="J13" s="4">
        <v>13.41911</v>
      </c>
      <c r="L13">
        <f t="shared" si="9"/>
        <v>1.0889700000000033</v>
      </c>
      <c r="M13">
        <f t="shared" si="10"/>
        <v>-0.82133000000000322</v>
      </c>
      <c r="N13">
        <f t="shared" si="11"/>
        <v>0.41910999999999987</v>
      </c>
      <c r="P13" t="str">
        <f t="shared" si="12"/>
        <v/>
      </c>
      <c r="Q13" t="str">
        <f t="shared" si="13"/>
        <v/>
      </c>
      <c r="R13" t="str">
        <f t="shared" si="14"/>
        <v/>
      </c>
      <c r="T13" t="str">
        <f t="shared" si="15"/>
        <v/>
      </c>
      <c r="U13" t="str">
        <f t="shared" si="16"/>
        <v/>
      </c>
      <c r="V13" t="str">
        <f t="shared" si="17"/>
        <v/>
      </c>
      <c r="X13" t="str">
        <f t="shared" si="18"/>
        <v/>
      </c>
      <c r="Y13" t="str">
        <f t="shared" si="19"/>
        <v/>
      </c>
      <c r="Z13" t="str">
        <f t="shared" si="20"/>
        <v/>
      </c>
      <c r="AB13" t="str">
        <f t="shared" si="21"/>
        <v/>
      </c>
      <c r="AC13" t="str">
        <f t="shared" si="22"/>
        <v/>
      </c>
      <c r="AD13" t="str">
        <f t="shared" si="23"/>
        <v/>
      </c>
      <c r="AF13" t="str">
        <f t="shared" si="24"/>
        <v/>
      </c>
      <c r="AG13" t="str">
        <f t="shared" si="25"/>
        <v/>
      </c>
      <c r="AH13" t="str">
        <f t="shared" si="26"/>
        <v/>
      </c>
      <c r="AJ13" t="str">
        <f t="shared" si="27"/>
        <v/>
      </c>
      <c r="AK13" t="str">
        <f t="shared" si="28"/>
        <v/>
      </c>
      <c r="AL13" t="str">
        <f t="shared" si="29"/>
        <v/>
      </c>
      <c r="AT13" s="1">
        <f t="shared" si="30"/>
        <v>41306</v>
      </c>
      <c r="AU13">
        <f t="shared" si="8"/>
        <v>1155</v>
      </c>
      <c r="AV13" s="6">
        <f t="shared" si="31"/>
        <v>47.585800000000006</v>
      </c>
      <c r="AW13" s="6">
        <f t="shared" si="32"/>
        <v>52.414200000000001</v>
      </c>
      <c r="AX13">
        <f t="shared" si="3"/>
        <v>39.6</v>
      </c>
      <c r="AY13">
        <f t="shared" si="4"/>
        <v>39</v>
      </c>
      <c r="AZ13">
        <f t="shared" si="5"/>
        <v>12</v>
      </c>
      <c r="BA13">
        <f t="shared" si="33"/>
        <v>9.4000000000000057</v>
      </c>
      <c r="BD13" s="4">
        <v>41.209690000000002</v>
      </c>
      <c r="BE13" s="4">
        <v>37.415280000000003</v>
      </c>
      <c r="BF13" s="4">
        <v>12.90131</v>
      </c>
      <c r="BG13">
        <f t="shared" si="34"/>
        <v>8.4737200000000001</v>
      </c>
      <c r="BI13" s="21"/>
      <c r="BJ13" s="22"/>
      <c r="BK13" s="22"/>
      <c r="BL13" s="23"/>
      <c r="BS13" s="86">
        <v>11</v>
      </c>
      <c r="BT13" s="83">
        <v>41306</v>
      </c>
      <c r="BU13" s="4">
        <v>39.6</v>
      </c>
      <c r="BV13" s="4">
        <v>41.209690000000002</v>
      </c>
      <c r="BX13" s="86">
        <v>11</v>
      </c>
      <c r="BY13" s="83">
        <v>41306</v>
      </c>
      <c r="BZ13" s="4">
        <v>39</v>
      </c>
      <c r="CA13" s="4">
        <v>37.415280000000003</v>
      </c>
      <c r="CC13" s="86">
        <v>11</v>
      </c>
      <c r="CD13" s="83">
        <v>41306</v>
      </c>
      <c r="CE13" s="4">
        <v>12</v>
      </c>
      <c r="CF13" s="4">
        <v>12.90131</v>
      </c>
    </row>
    <row r="14" spans="1:84" x14ac:dyDescent="0.25">
      <c r="A14" s="2">
        <v>41327</v>
      </c>
      <c r="B14" t="s">
        <v>6</v>
      </c>
      <c r="C14">
        <v>1108</v>
      </c>
      <c r="D14">
        <v>44.2</v>
      </c>
      <c r="E14">
        <v>34.9</v>
      </c>
      <c r="F14">
        <v>12.6</v>
      </c>
      <c r="H14" s="4">
        <v>41.531590000000001</v>
      </c>
      <c r="I14" s="4">
        <v>37.106999999999999</v>
      </c>
      <c r="J14" s="4">
        <v>13.34239</v>
      </c>
      <c r="L14" t="str">
        <f t="shared" si="9"/>
        <v/>
      </c>
      <c r="M14" t="str">
        <f t="shared" si="10"/>
        <v/>
      </c>
      <c r="N14" t="str">
        <f t="shared" si="11"/>
        <v/>
      </c>
      <c r="P14">
        <f t="shared" si="12"/>
        <v>-2.6684100000000015</v>
      </c>
      <c r="Q14">
        <f t="shared" si="13"/>
        <v>2.2070000000000007</v>
      </c>
      <c r="R14">
        <f t="shared" si="14"/>
        <v>0.74239000000000033</v>
      </c>
      <c r="T14" t="str">
        <f t="shared" si="15"/>
        <v/>
      </c>
      <c r="U14" t="str">
        <f t="shared" si="16"/>
        <v/>
      </c>
      <c r="V14" t="str">
        <f t="shared" si="17"/>
        <v/>
      </c>
      <c r="X14" t="str">
        <f t="shared" si="18"/>
        <v/>
      </c>
      <c r="Y14" t="str">
        <f t="shared" si="19"/>
        <v/>
      </c>
      <c r="Z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F14" t="str">
        <f t="shared" si="24"/>
        <v/>
      </c>
      <c r="AG14" t="str">
        <f t="shared" si="25"/>
        <v/>
      </c>
      <c r="AH14" t="str">
        <f t="shared" si="26"/>
        <v/>
      </c>
      <c r="AJ14" t="str">
        <f t="shared" si="27"/>
        <v/>
      </c>
      <c r="AK14" t="str">
        <f t="shared" si="28"/>
        <v/>
      </c>
      <c r="AL14" t="str">
        <f t="shared" si="29"/>
        <v/>
      </c>
      <c r="AT14" s="1">
        <f t="shared" si="30"/>
        <v>41327</v>
      </c>
      <c r="AU14">
        <f t="shared" si="8"/>
        <v>409.96</v>
      </c>
      <c r="AV14" s="6">
        <f t="shared" si="31"/>
        <v>52.394800000000004</v>
      </c>
      <c r="AW14" s="6">
        <f t="shared" si="32"/>
        <v>47.605200000000004</v>
      </c>
      <c r="AX14">
        <f t="shared" si="3"/>
        <v>44.2</v>
      </c>
      <c r="AY14">
        <f t="shared" si="4"/>
        <v>33.299999999999997</v>
      </c>
      <c r="AZ14">
        <f t="shared" si="5"/>
        <v>13.1</v>
      </c>
      <c r="BA14">
        <f t="shared" si="33"/>
        <v>9.4000000000000057</v>
      </c>
      <c r="BD14" s="4">
        <v>42.05001</v>
      </c>
      <c r="BE14" s="4">
        <v>37.118020000000001</v>
      </c>
      <c r="BF14" s="4">
        <v>12.855219999999999</v>
      </c>
      <c r="BG14">
        <f t="shared" si="34"/>
        <v>7.9767499999999956</v>
      </c>
      <c r="BI14" s="21"/>
      <c r="BJ14" s="24" t="s">
        <v>21</v>
      </c>
      <c r="BK14" s="69">
        <v>41966</v>
      </c>
      <c r="BL14" s="25">
        <v>2010</v>
      </c>
      <c r="BS14" s="86">
        <v>12</v>
      </c>
      <c r="BT14" s="83">
        <v>41327</v>
      </c>
      <c r="BU14" s="4">
        <v>44.2</v>
      </c>
      <c r="BV14" s="4">
        <v>42.05001</v>
      </c>
      <c r="BX14" s="86">
        <v>12</v>
      </c>
      <c r="BY14" s="83">
        <v>41327</v>
      </c>
      <c r="BZ14" s="4">
        <v>33.299999999999997</v>
      </c>
      <c r="CA14" s="4">
        <v>37.118020000000001</v>
      </c>
      <c r="CC14" s="86">
        <v>12</v>
      </c>
      <c r="CD14" s="83">
        <v>41327</v>
      </c>
      <c r="CE14" s="4">
        <v>13.1</v>
      </c>
      <c r="CF14" s="4">
        <v>12.855219999999999</v>
      </c>
    </row>
    <row r="15" spans="1:84" x14ac:dyDescent="0.25">
      <c r="A15" s="2">
        <v>41341</v>
      </c>
      <c r="B15" t="s">
        <v>6</v>
      </c>
      <c r="C15">
        <v>1271</v>
      </c>
      <c r="D15">
        <v>44.9</v>
      </c>
      <c r="E15">
        <v>36.9</v>
      </c>
      <c r="F15">
        <v>12.3</v>
      </c>
      <c r="H15" s="4">
        <v>42.586979999999997</v>
      </c>
      <c r="I15" s="4">
        <v>37.032649999999997</v>
      </c>
      <c r="J15" s="4">
        <v>13.29125</v>
      </c>
      <c r="L15" t="str">
        <f t="shared" si="9"/>
        <v/>
      </c>
      <c r="M15" t="str">
        <f t="shared" si="10"/>
        <v/>
      </c>
      <c r="N15" t="str">
        <f t="shared" si="11"/>
        <v/>
      </c>
      <c r="P15">
        <f t="shared" si="12"/>
        <v>-2.3130200000000016</v>
      </c>
      <c r="Q15">
        <f t="shared" si="13"/>
        <v>0.13264999999999816</v>
      </c>
      <c r="R15">
        <f t="shared" si="14"/>
        <v>0.99124999999999908</v>
      </c>
      <c r="T15" t="str">
        <f t="shared" si="15"/>
        <v/>
      </c>
      <c r="U15" t="str">
        <f t="shared" si="16"/>
        <v/>
      </c>
      <c r="V15" t="str">
        <f t="shared" si="17"/>
        <v/>
      </c>
      <c r="X15" t="str">
        <f t="shared" si="18"/>
        <v/>
      </c>
      <c r="Y15" t="str">
        <f t="shared" si="19"/>
        <v/>
      </c>
      <c r="Z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F15" t="str">
        <f t="shared" si="24"/>
        <v/>
      </c>
      <c r="AG15" t="str">
        <f t="shared" si="25"/>
        <v/>
      </c>
      <c r="AH15" t="str">
        <f t="shared" si="26"/>
        <v/>
      </c>
      <c r="AJ15" t="str">
        <f t="shared" si="27"/>
        <v/>
      </c>
      <c r="AK15" t="str">
        <f t="shared" si="28"/>
        <v/>
      </c>
      <c r="AL15" t="str">
        <f t="shared" si="29"/>
        <v/>
      </c>
      <c r="AT15" s="1">
        <f t="shared" si="30"/>
        <v>41341</v>
      </c>
      <c r="AU15">
        <f t="shared" si="8"/>
        <v>470.27</v>
      </c>
      <c r="AV15" s="6">
        <f t="shared" si="31"/>
        <v>51.58100000000001</v>
      </c>
      <c r="AW15" s="6">
        <f t="shared" si="32"/>
        <v>48.419000000000004</v>
      </c>
      <c r="AX15">
        <f t="shared" si="3"/>
        <v>44.9</v>
      </c>
      <c r="AY15">
        <f t="shared" si="4"/>
        <v>35.299999999999997</v>
      </c>
      <c r="AZ15">
        <f t="shared" si="5"/>
        <v>12.8</v>
      </c>
      <c r="BA15">
        <f t="shared" si="33"/>
        <v>7.0000000000000142</v>
      </c>
      <c r="BD15" s="4">
        <v>42.610230000000001</v>
      </c>
      <c r="BE15" s="4">
        <v>36.919840000000001</v>
      </c>
      <c r="BF15" s="4">
        <v>12.824490000000001</v>
      </c>
      <c r="BG15">
        <f t="shared" si="34"/>
        <v>7.6454400000000078</v>
      </c>
      <c r="BI15" s="78" t="s">
        <v>716</v>
      </c>
      <c r="BJ15" s="79">
        <f>88-BJ16</f>
        <v>40</v>
      </c>
      <c r="BK15" s="80">
        <f>BJ15-BN15</f>
        <v>2</v>
      </c>
      <c r="BL15" s="81">
        <f>BJ15-45</f>
        <v>-5</v>
      </c>
      <c r="BN15">
        <v>38</v>
      </c>
      <c r="BO15">
        <v>38</v>
      </c>
      <c r="BP15">
        <v>38</v>
      </c>
      <c r="BQ15">
        <v>38</v>
      </c>
      <c r="BS15" s="86">
        <v>13</v>
      </c>
      <c r="BT15" s="83">
        <v>41341</v>
      </c>
      <c r="BU15" s="4">
        <v>44.9</v>
      </c>
      <c r="BV15" s="4">
        <v>42.610230000000001</v>
      </c>
      <c r="BX15" s="86">
        <v>13</v>
      </c>
      <c r="BY15" s="83">
        <v>41341</v>
      </c>
      <c r="BZ15" s="4">
        <v>35.299999999999997</v>
      </c>
      <c r="CA15" s="4">
        <v>36.919840000000001</v>
      </c>
      <c r="CC15" s="86">
        <v>13</v>
      </c>
      <c r="CD15" s="83">
        <v>41341</v>
      </c>
      <c r="CE15" s="4">
        <v>12.8</v>
      </c>
      <c r="CF15" s="4">
        <v>12.824490000000001</v>
      </c>
    </row>
    <row r="16" spans="1:84" x14ac:dyDescent="0.25">
      <c r="A16" s="2">
        <v>41348</v>
      </c>
      <c r="B16" t="s">
        <v>7</v>
      </c>
      <c r="C16">
        <v>849</v>
      </c>
      <c r="D16">
        <v>45</v>
      </c>
      <c r="E16">
        <v>36</v>
      </c>
      <c r="F16">
        <v>12</v>
      </c>
      <c r="H16" s="4"/>
      <c r="I16" s="4"/>
      <c r="J16" s="4"/>
      <c r="AT16" s="1">
        <f t="shared" si="30"/>
        <v>41348</v>
      </c>
      <c r="AU16">
        <f t="shared" si="8"/>
        <v>469.22498260638508</v>
      </c>
      <c r="AV16" s="6">
        <f t="shared" si="31"/>
        <v>50.720475069999999</v>
      </c>
      <c r="AW16" s="6">
        <f t="shared" si="32"/>
        <v>49.279524930000001</v>
      </c>
      <c r="AX16">
        <f t="shared" si="3"/>
        <v>43.595790000000001</v>
      </c>
      <c r="AY16">
        <f t="shared" si="4"/>
        <v>34.955582999999997</v>
      </c>
      <c r="AZ16">
        <f t="shared" si="5"/>
        <v>14.135807</v>
      </c>
      <c r="BA16">
        <f t="shared" si="33"/>
        <v>7.3128200000000021</v>
      </c>
      <c r="BD16" s="4">
        <v>42.898829999999997</v>
      </c>
      <c r="BE16" s="4">
        <v>36.82076</v>
      </c>
      <c r="BF16" s="4">
        <v>12.80913</v>
      </c>
      <c r="BG16">
        <f t="shared" si="34"/>
        <v>7.4712800000000072</v>
      </c>
      <c r="BI16" s="17" t="s">
        <v>20</v>
      </c>
      <c r="BJ16" s="26">
        <f>ROUND(Seats!CZ92,0)</f>
        <v>48</v>
      </c>
      <c r="BK16" s="27">
        <f>BJ16-BN16</f>
        <v>-2</v>
      </c>
      <c r="BL16" s="28">
        <f>BJ16-43</f>
        <v>5</v>
      </c>
      <c r="BN16">
        <v>50</v>
      </c>
      <c r="BO16">
        <v>50</v>
      </c>
      <c r="BP16">
        <v>50</v>
      </c>
      <c r="BQ16">
        <v>50</v>
      </c>
      <c r="BS16" s="86">
        <v>14</v>
      </c>
      <c r="BT16" s="83">
        <v>41348</v>
      </c>
      <c r="BU16" s="4">
        <v>44.267940000000003</v>
      </c>
      <c r="BV16" s="4">
        <v>42.898829999999997</v>
      </c>
      <c r="BX16" s="86">
        <v>14</v>
      </c>
      <c r="BY16" s="83">
        <v>41348</v>
      </c>
      <c r="BZ16" s="4">
        <v>35.059289999999997</v>
      </c>
      <c r="CA16" s="4">
        <v>36.82076</v>
      </c>
      <c r="CC16" s="86">
        <v>14</v>
      </c>
      <c r="CD16" s="83">
        <v>41348</v>
      </c>
      <c r="CE16" s="4">
        <v>14.5662</v>
      </c>
      <c r="CF16" s="4">
        <v>12.80913</v>
      </c>
    </row>
    <row r="17" spans="1:84" x14ac:dyDescent="0.25">
      <c r="A17" s="2">
        <v>41365</v>
      </c>
      <c r="B17" t="s">
        <v>5</v>
      </c>
      <c r="C17">
        <v>1134</v>
      </c>
      <c r="D17">
        <v>43</v>
      </c>
      <c r="E17">
        <v>37</v>
      </c>
      <c r="F17">
        <v>12</v>
      </c>
      <c r="H17" s="4">
        <v>43.17756</v>
      </c>
      <c r="I17" s="4">
        <v>36.937370000000001</v>
      </c>
      <c r="J17" s="4">
        <v>13.22381</v>
      </c>
      <c r="L17">
        <f t="shared" si="9"/>
        <v>0.17755999999999972</v>
      </c>
      <c r="M17">
        <f t="shared" si="10"/>
        <v>-6.2629999999998631E-2</v>
      </c>
      <c r="N17">
        <f t="shared" si="11"/>
        <v>1.2238100000000003</v>
      </c>
      <c r="P17" t="str">
        <f t="shared" si="12"/>
        <v/>
      </c>
      <c r="Q17" t="str">
        <f t="shared" si="13"/>
        <v/>
      </c>
      <c r="R17" t="str">
        <f t="shared" si="14"/>
        <v/>
      </c>
      <c r="T17" t="str">
        <f t="shared" si="15"/>
        <v/>
      </c>
      <c r="U17" t="str">
        <f t="shared" si="16"/>
        <v/>
      </c>
      <c r="V17" t="str">
        <f t="shared" si="17"/>
        <v/>
      </c>
      <c r="X17" t="str">
        <f t="shared" si="18"/>
        <v/>
      </c>
      <c r="Y17" t="str">
        <f t="shared" si="19"/>
        <v/>
      </c>
      <c r="Z17" t="str">
        <f t="shared" si="20"/>
        <v/>
      </c>
      <c r="AB17" t="str">
        <f t="shared" si="21"/>
        <v/>
      </c>
      <c r="AC17" t="str">
        <f t="shared" si="22"/>
        <v/>
      </c>
      <c r="AD17" t="str">
        <f t="shared" si="23"/>
        <v/>
      </c>
      <c r="AF17" t="str">
        <f t="shared" si="24"/>
        <v/>
      </c>
      <c r="AG17" t="str">
        <f t="shared" si="25"/>
        <v/>
      </c>
      <c r="AH17" t="str">
        <f t="shared" si="26"/>
        <v/>
      </c>
      <c r="AJ17" t="str">
        <f t="shared" si="27"/>
        <v/>
      </c>
      <c r="AK17" t="str">
        <f t="shared" si="28"/>
        <v/>
      </c>
      <c r="AL17" t="str">
        <f t="shared" si="29"/>
        <v/>
      </c>
      <c r="AT17" s="1">
        <f t="shared" si="30"/>
        <v>41365</v>
      </c>
      <c r="AU17">
        <f t="shared" si="8"/>
        <v>1134</v>
      </c>
      <c r="AV17" s="6">
        <f t="shared" si="31"/>
        <v>50.181800000000003</v>
      </c>
      <c r="AW17" s="6">
        <f t="shared" si="32"/>
        <v>49.818199999999997</v>
      </c>
      <c r="AX17">
        <f t="shared" si="3"/>
        <v>43.6</v>
      </c>
      <c r="AY17">
        <f t="shared" si="4"/>
        <v>38</v>
      </c>
      <c r="AZ17">
        <f t="shared" si="5"/>
        <v>11</v>
      </c>
      <c r="BA17">
        <f t="shared" si="33"/>
        <v>7.4000000000000057</v>
      </c>
      <c r="BD17" s="4">
        <v>43.399630000000002</v>
      </c>
      <c r="BE17" s="4">
        <v>36.68206</v>
      </c>
      <c r="BF17" s="4">
        <v>12.802239999999999</v>
      </c>
      <c r="BG17">
        <f t="shared" si="34"/>
        <v>7.1160699999999935</v>
      </c>
      <c r="BI17" s="67"/>
      <c r="BJ17" s="65"/>
      <c r="BK17" s="66"/>
      <c r="BL17" s="68"/>
      <c r="BS17" s="86">
        <v>15</v>
      </c>
      <c r="BT17" s="83">
        <v>41365</v>
      </c>
      <c r="BU17" s="4">
        <v>43.6</v>
      </c>
      <c r="BV17" s="4">
        <v>43.399630000000002</v>
      </c>
      <c r="BX17" s="86">
        <v>15</v>
      </c>
      <c r="BY17" s="83">
        <v>41365</v>
      </c>
      <c r="BZ17" s="4">
        <v>38</v>
      </c>
      <c r="CA17" s="4">
        <v>36.68206</v>
      </c>
      <c r="CC17" s="86">
        <v>15</v>
      </c>
      <c r="CD17" s="83">
        <v>41365</v>
      </c>
      <c r="CE17" s="4">
        <v>11</v>
      </c>
      <c r="CF17" s="4">
        <v>12.802239999999999</v>
      </c>
    </row>
    <row r="18" spans="1:84" x14ac:dyDescent="0.25">
      <c r="A18" s="2">
        <v>41376</v>
      </c>
      <c r="B18" t="s">
        <v>6</v>
      </c>
      <c r="C18">
        <v>1232</v>
      </c>
      <c r="D18">
        <v>49.5</v>
      </c>
      <c r="E18">
        <v>35.299999999999997</v>
      </c>
      <c r="F18">
        <v>11.5</v>
      </c>
      <c r="H18" s="4">
        <v>43.448250000000002</v>
      </c>
      <c r="I18" s="4">
        <v>36.893700000000003</v>
      </c>
      <c r="J18" s="4">
        <v>13.1929</v>
      </c>
      <c r="L18" t="str">
        <f t="shared" si="9"/>
        <v/>
      </c>
      <c r="M18" t="str">
        <f t="shared" si="10"/>
        <v/>
      </c>
      <c r="N18" t="str">
        <f t="shared" si="11"/>
        <v/>
      </c>
      <c r="P18">
        <f t="shared" si="12"/>
        <v>-6.0517499999999984</v>
      </c>
      <c r="Q18">
        <f t="shared" si="13"/>
        <v>1.5937000000000054</v>
      </c>
      <c r="R18">
        <f t="shared" si="14"/>
        <v>1.6928999999999998</v>
      </c>
      <c r="T18" t="str">
        <f t="shared" si="15"/>
        <v/>
      </c>
      <c r="U18" t="str">
        <f t="shared" si="16"/>
        <v/>
      </c>
      <c r="V18" t="str">
        <f t="shared" si="17"/>
        <v/>
      </c>
      <c r="X18" t="str">
        <f t="shared" si="18"/>
        <v/>
      </c>
      <c r="Y18" t="str">
        <f t="shared" si="19"/>
        <v/>
      </c>
      <c r="Z18" t="str">
        <f t="shared" si="20"/>
        <v/>
      </c>
      <c r="AB18" t="str">
        <f t="shared" si="21"/>
        <v/>
      </c>
      <c r="AC18" t="str">
        <f t="shared" si="22"/>
        <v/>
      </c>
      <c r="AD18" t="str">
        <f t="shared" si="23"/>
        <v/>
      </c>
      <c r="AF18" t="str">
        <f t="shared" si="24"/>
        <v/>
      </c>
      <c r="AG18" t="str">
        <f t="shared" si="25"/>
        <v/>
      </c>
      <c r="AH18" t="str">
        <f t="shared" si="26"/>
        <v/>
      </c>
      <c r="AJ18" t="str">
        <f t="shared" si="27"/>
        <v/>
      </c>
      <c r="AK18" t="str">
        <f t="shared" si="28"/>
        <v/>
      </c>
      <c r="AL18" t="str">
        <f t="shared" si="29"/>
        <v/>
      </c>
      <c r="AT18" s="1">
        <f t="shared" si="30"/>
        <v>41376</v>
      </c>
      <c r="AU18">
        <f t="shared" si="8"/>
        <v>455.84</v>
      </c>
      <c r="AV18" s="6">
        <f t="shared" si="31"/>
        <v>54.693600000000011</v>
      </c>
      <c r="AW18" s="6">
        <f t="shared" si="32"/>
        <v>45.306399999999996</v>
      </c>
      <c r="AX18">
        <f t="shared" si="3"/>
        <v>49.5</v>
      </c>
      <c r="AY18">
        <f t="shared" si="4"/>
        <v>33.699999999999996</v>
      </c>
      <c r="AZ18">
        <f t="shared" si="5"/>
        <v>12</v>
      </c>
      <c r="BA18">
        <f t="shared" si="33"/>
        <v>4.8000000000000114</v>
      </c>
      <c r="BD18" s="4">
        <v>43.723680000000002</v>
      </c>
      <c r="BE18" s="4">
        <v>36.592320000000001</v>
      </c>
      <c r="BF18" s="4">
        <v>12.797779999999999</v>
      </c>
      <c r="BG18">
        <f t="shared" si="34"/>
        <v>6.8862199999999945</v>
      </c>
      <c r="BI18" s="60"/>
      <c r="BJ18" s="29"/>
      <c r="BK18" s="30"/>
      <c r="BL18" s="30"/>
      <c r="BS18" s="86">
        <v>16</v>
      </c>
      <c r="BT18" s="83">
        <v>41376</v>
      </c>
      <c r="BU18" s="4">
        <v>49.5</v>
      </c>
      <c r="BV18" s="4">
        <v>43.723680000000002</v>
      </c>
      <c r="BX18" s="86">
        <v>16</v>
      </c>
      <c r="BY18" s="83">
        <v>41376</v>
      </c>
      <c r="BZ18" s="4">
        <v>33.700000000000003</v>
      </c>
      <c r="CA18" s="4">
        <v>36.592320000000001</v>
      </c>
      <c r="CC18" s="86">
        <v>16</v>
      </c>
      <c r="CD18" s="83">
        <v>41376</v>
      </c>
      <c r="CE18" s="4">
        <v>12</v>
      </c>
      <c r="CF18" s="4">
        <v>12.797779999999999</v>
      </c>
    </row>
    <row r="19" spans="1:84" x14ac:dyDescent="0.25">
      <c r="A19" s="2">
        <v>41424</v>
      </c>
      <c r="B19" t="s">
        <v>6</v>
      </c>
      <c r="C19">
        <v>1205</v>
      </c>
      <c r="D19">
        <v>43.6</v>
      </c>
      <c r="E19">
        <v>32.5</v>
      </c>
      <c r="F19">
        <v>13.600000000000001</v>
      </c>
      <c r="H19" s="4">
        <v>43.045819999999999</v>
      </c>
      <c r="I19" s="4">
        <v>36.703139999999998</v>
      </c>
      <c r="J19" s="4">
        <v>13.058009999999999</v>
      </c>
      <c r="L19" t="str">
        <f t="shared" si="9"/>
        <v/>
      </c>
      <c r="M19" t="str">
        <f t="shared" si="10"/>
        <v/>
      </c>
      <c r="N19" t="str">
        <f t="shared" si="11"/>
        <v/>
      </c>
      <c r="P19">
        <f t="shared" si="12"/>
        <v>-0.55418000000000234</v>
      </c>
      <c r="Q19">
        <f t="shared" si="13"/>
        <v>4.2031399999999977</v>
      </c>
      <c r="R19">
        <f t="shared" si="14"/>
        <v>-0.54199000000000197</v>
      </c>
      <c r="T19" t="str">
        <f t="shared" si="15"/>
        <v/>
      </c>
      <c r="U19" t="str">
        <f t="shared" si="16"/>
        <v/>
      </c>
      <c r="V19" t="str">
        <f t="shared" si="17"/>
        <v/>
      </c>
      <c r="X19" t="str">
        <f t="shared" si="18"/>
        <v/>
      </c>
      <c r="Y19" t="str">
        <f t="shared" si="19"/>
        <v/>
      </c>
      <c r="Z19" t="str">
        <f t="shared" si="20"/>
        <v/>
      </c>
      <c r="AB19" t="str">
        <f t="shared" si="21"/>
        <v/>
      </c>
      <c r="AC19" t="str">
        <f t="shared" si="22"/>
        <v/>
      </c>
      <c r="AD19" t="str">
        <f t="shared" si="23"/>
        <v/>
      </c>
      <c r="AF19" t="str">
        <f t="shared" si="24"/>
        <v/>
      </c>
      <c r="AG19" t="str">
        <f t="shared" si="25"/>
        <v/>
      </c>
      <c r="AH19" t="str">
        <f t="shared" si="26"/>
        <v/>
      </c>
      <c r="AJ19" t="str">
        <f t="shared" si="27"/>
        <v/>
      </c>
      <c r="AK19" t="str">
        <f t="shared" si="28"/>
        <v/>
      </c>
      <c r="AL19" t="str">
        <f t="shared" si="29"/>
        <v/>
      </c>
      <c r="AT19" s="1">
        <f t="shared" si="30"/>
        <v>41424</v>
      </c>
      <c r="AU19">
        <f t="shared" si="8"/>
        <v>445.85</v>
      </c>
      <c r="AV19" s="6">
        <f t="shared" si="31"/>
        <v>53.198800000000006</v>
      </c>
      <c r="AW19" s="6">
        <f t="shared" si="32"/>
        <v>46.801200000000001</v>
      </c>
      <c r="AX19">
        <f t="shared" si="3"/>
        <v>43.6</v>
      </c>
      <c r="AY19">
        <f t="shared" si="4"/>
        <v>30.9</v>
      </c>
      <c r="AZ19">
        <f t="shared" si="5"/>
        <v>14.100000000000001</v>
      </c>
      <c r="BA19">
        <f t="shared" si="33"/>
        <v>11.400000000000006</v>
      </c>
      <c r="BD19" s="4">
        <v>43.154949999999999</v>
      </c>
      <c r="BE19" s="4">
        <v>36.704219999999999</v>
      </c>
      <c r="BF19" s="4">
        <v>12.778320000000001</v>
      </c>
      <c r="BG19">
        <f t="shared" si="34"/>
        <v>7.3625099999999861</v>
      </c>
      <c r="BS19" s="86">
        <v>17</v>
      </c>
      <c r="BT19" s="83">
        <v>41424</v>
      </c>
      <c r="BU19" s="4">
        <v>43.6</v>
      </c>
      <c r="BV19" s="4">
        <v>43.154949999999999</v>
      </c>
      <c r="BX19" s="86">
        <v>17</v>
      </c>
      <c r="BY19" s="83">
        <v>41424</v>
      </c>
      <c r="BZ19" s="4">
        <v>30.9</v>
      </c>
      <c r="CA19" s="4">
        <v>36.704219999999999</v>
      </c>
      <c r="CC19" s="86">
        <v>17</v>
      </c>
      <c r="CD19" s="83">
        <v>41424</v>
      </c>
      <c r="CE19" s="4">
        <v>14.1</v>
      </c>
      <c r="CF19" s="4">
        <v>12.778320000000001</v>
      </c>
    </row>
    <row r="20" spans="1:84" x14ac:dyDescent="0.25">
      <c r="A20" s="2">
        <v>41426</v>
      </c>
      <c r="B20" t="s">
        <v>5</v>
      </c>
      <c r="C20">
        <v>1140</v>
      </c>
      <c r="D20">
        <v>43</v>
      </c>
      <c r="E20">
        <v>35</v>
      </c>
      <c r="F20">
        <v>12</v>
      </c>
      <c r="H20" s="4">
        <v>42.994639999999997</v>
      </c>
      <c r="I20" s="4">
        <v>36.715870000000002</v>
      </c>
      <c r="J20" s="4">
        <v>13.052390000000001</v>
      </c>
      <c r="L20">
        <f t="shared" si="9"/>
        <v>-5.36000000000314E-3</v>
      </c>
      <c r="M20">
        <f t="shared" si="10"/>
        <v>1.7158700000000024</v>
      </c>
      <c r="N20">
        <f t="shared" si="11"/>
        <v>1.0523900000000008</v>
      </c>
      <c r="P20" t="str">
        <f t="shared" si="12"/>
        <v/>
      </c>
      <c r="Q20" t="str">
        <f t="shared" si="13"/>
        <v/>
      </c>
      <c r="R20" t="str">
        <f t="shared" si="14"/>
        <v/>
      </c>
      <c r="T20" t="str">
        <f t="shared" si="15"/>
        <v/>
      </c>
      <c r="U20" t="str">
        <f t="shared" si="16"/>
        <v/>
      </c>
      <c r="V20" t="str">
        <f t="shared" si="17"/>
        <v/>
      </c>
      <c r="X20" t="str">
        <f t="shared" si="18"/>
        <v/>
      </c>
      <c r="Y20" t="str">
        <f t="shared" si="19"/>
        <v/>
      </c>
      <c r="Z20" t="str">
        <f t="shared" si="20"/>
        <v/>
      </c>
      <c r="AB20" t="str">
        <f t="shared" si="21"/>
        <v/>
      </c>
      <c r="AC20" t="str">
        <f t="shared" si="22"/>
        <v/>
      </c>
      <c r="AD20" t="str">
        <f t="shared" si="23"/>
        <v/>
      </c>
      <c r="AF20" t="str">
        <f t="shared" si="24"/>
        <v/>
      </c>
      <c r="AG20" t="str">
        <f t="shared" si="25"/>
        <v/>
      </c>
      <c r="AH20" t="str">
        <f t="shared" si="26"/>
        <v/>
      </c>
      <c r="AJ20" t="str">
        <f t="shared" si="27"/>
        <v/>
      </c>
      <c r="AK20" t="str">
        <f t="shared" si="28"/>
        <v/>
      </c>
      <c r="AL20" t="str">
        <f t="shared" si="29"/>
        <v/>
      </c>
      <c r="AT20" s="1">
        <f t="shared" si="30"/>
        <v>41426</v>
      </c>
      <c r="AU20">
        <f t="shared" si="8"/>
        <v>1140</v>
      </c>
      <c r="AV20" s="6">
        <f t="shared" si="31"/>
        <v>51.395800000000001</v>
      </c>
      <c r="AW20" s="6">
        <f t="shared" si="32"/>
        <v>48.604199999999999</v>
      </c>
      <c r="AX20">
        <f t="shared" si="3"/>
        <v>43.6</v>
      </c>
      <c r="AY20">
        <f t="shared" si="4"/>
        <v>36</v>
      </c>
      <c r="AZ20">
        <f t="shared" si="5"/>
        <v>11</v>
      </c>
      <c r="BA20">
        <f t="shared" si="33"/>
        <v>9.4000000000000057</v>
      </c>
      <c r="BD20" s="4">
        <v>43.131250000000001</v>
      </c>
      <c r="BE20" s="4">
        <v>36.708880000000001</v>
      </c>
      <c r="BF20" s="4">
        <v>12.777509999999999</v>
      </c>
      <c r="BG20">
        <f t="shared" si="34"/>
        <v>7.3823600000000056</v>
      </c>
      <c r="BS20" s="86">
        <v>18</v>
      </c>
      <c r="BT20" s="83">
        <v>41426</v>
      </c>
      <c r="BU20" s="4">
        <v>43.6</v>
      </c>
      <c r="BV20" s="4">
        <v>43.131250000000001</v>
      </c>
      <c r="BX20" s="86">
        <v>18</v>
      </c>
      <c r="BY20" s="83">
        <v>41426</v>
      </c>
      <c r="BZ20" s="4">
        <v>36</v>
      </c>
      <c r="CA20" s="4">
        <v>36.708880000000001</v>
      </c>
      <c r="CC20" s="86">
        <v>18</v>
      </c>
      <c r="CD20" s="83">
        <v>41426</v>
      </c>
      <c r="CE20" s="4">
        <v>11</v>
      </c>
      <c r="CF20" s="4">
        <v>12.777509999999999</v>
      </c>
    </row>
    <row r="21" spans="1:84" x14ac:dyDescent="0.25">
      <c r="A21" s="2">
        <v>41487</v>
      </c>
      <c r="B21" t="s">
        <v>5</v>
      </c>
      <c r="C21">
        <v>1144</v>
      </c>
      <c r="D21">
        <v>41</v>
      </c>
      <c r="E21">
        <v>38</v>
      </c>
      <c r="F21">
        <v>13</v>
      </c>
      <c r="H21" s="4">
        <v>41.433669999999999</v>
      </c>
      <c r="I21" s="4">
        <v>37.104080000000003</v>
      </c>
      <c r="J21" s="4">
        <v>12.88096</v>
      </c>
      <c r="L21">
        <f t="shared" si="9"/>
        <v>0.43366999999999933</v>
      </c>
      <c r="M21">
        <f t="shared" si="10"/>
        <v>-0.89591999999999672</v>
      </c>
      <c r="N21">
        <f t="shared" si="11"/>
        <v>-0.11904000000000003</v>
      </c>
      <c r="P21" t="str">
        <f t="shared" si="12"/>
        <v/>
      </c>
      <c r="Q21" t="str">
        <f t="shared" si="13"/>
        <v/>
      </c>
      <c r="R21" t="str">
        <f t="shared" si="14"/>
        <v/>
      </c>
      <c r="T21" t="str">
        <f t="shared" si="15"/>
        <v/>
      </c>
      <c r="U21" t="str">
        <f t="shared" si="16"/>
        <v/>
      </c>
      <c r="V21" t="str">
        <f t="shared" si="17"/>
        <v/>
      </c>
      <c r="X21" t="str">
        <f t="shared" si="18"/>
        <v/>
      </c>
      <c r="Y21" t="str">
        <f t="shared" si="19"/>
        <v/>
      </c>
      <c r="Z21" t="str">
        <f t="shared" si="20"/>
        <v/>
      </c>
      <c r="AB21" t="str">
        <f t="shared" si="21"/>
        <v/>
      </c>
      <c r="AC21" t="str">
        <f t="shared" si="22"/>
        <v/>
      </c>
      <c r="AD21" t="str">
        <f t="shared" si="23"/>
        <v/>
      </c>
      <c r="AF21" t="str">
        <f t="shared" si="24"/>
        <v/>
      </c>
      <c r="AG21" t="str">
        <f t="shared" si="25"/>
        <v/>
      </c>
      <c r="AH21" t="str">
        <f t="shared" si="26"/>
        <v/>
      </c>
      <c r="AJ21" t="str">
        <f t="shared" si="27"/>
        <v/>
      </c>
      <c r="AK21" t="str">
        <f t="shared" si="28"/>
        <v/>
      </c>
      <c r="AL21" t="str">
        <f t="shared" si="29"/>
        <v/>
      </c>
      <c r="AT21" s="1">
        <f t="shared" si="30"/>
        <v>41487</v>
      </c>
      <c r="AU21">
        <f t="shared" si="8"/>
        <v>1144</v>
      </c>
      <c r="AV21" s="6">
        <f t="shared" si="31"/>
        <v>48.371800000000007</v>
      </c>
      <c r="AW21" s="6">
        <f t="shared" si="32"/>
        <v>51.6282</v>
      </c>
      <c r="AX21">
        <f t="shared" si="3"/>
        <v>41.6</v>
      </c>
      <c r="AY21">
        <f t="shared" si="4"/>
        <v>39</v>
      </c>
      <c r="AZ21">
        <f t="shared" si="5"/>
        <v>12</v>
      </c>
      <c r="BA21">
        <f t="shared" si="33"/>
        <v>7.4000000000000057</v>
      </c>
      <c r="BD21" s="4">
        <v>42.070920000000001</v>
      </c>
      <c r="BE21" s="4">
        <v>37.323889999999999</v>
      </c>
      <c r="BF21" s="4">
        <v>12.75278</v>
      </c>
      <c r="BG21">
        <f t="shared" si="34"/>
        <v>7.8524099999999919</v>
      </c>
      <c r="BS21" s="86">
        <v>19</v>
      </c>
      <c r="BT21" s="83">
        <v>41487</v>
      </c>
      <c r="BU21" s="4">
        <v>41.6</v>
      </c>
      <c r="BV21" s="4">
        <v>42.070920000000001</v>
      </c>
      <c r="BX21" s="86">
        <v>19</v>
      </c>
      <c r="BY21" s="83">
        <v>41487</v>
      </c>
      <c r="BZ21" s="4">
        <v>39</v>
      </c>
      <c r="CA21" s="4">
        <v>37.323889999999999</v>
      </c>
      <c r="CC21" s="86">
        <v>19</v>
      </c>
      <c r="CD21" s="83">
        <v>41487</v>
      </c>
      <c r="CE21" s="4">
        <v>12</v>
      </c>
      <c r="CF21" s="4">
        <v>12.75278</v>
      </c>
    </row>
    <row r="22" spans="1:84" x14ac:dyDescent="0.25">
      <c r="A22" s="2">
        <v>41548</v>
      </c>
      <c r="B22" t="s">
        <v>5</v>
      </c>
      <c r="C22">
        <v>1144</v>
      </c>
      <c r="D22">
        <v>39</v>
      </c>
      <c r="E22">
        <v>38</v>
      </c>
      <c r="F22">
        <v>14.000000000000002</v>
      </c>
      <c r="H22" s="4">
        <v>40.602510000000002</v>
      </c>
      <c r="I22" s="4">
        <v>37.492289999999997</v>
      </c>
      <c r="J22" s="4">
        <v>12.709540000000001</v>
      </c>
      <c r="L22">
        <f t="shared" si="9"/>
        <v>1.6025100000000023</v>
      </c>
      <c r="M22">
        <f t="shared" si="10"/>
        <v>-0.50771000000000299</v>
      </c>
      <c r="N22">
        <f t="shared" si="11"/>
        <v>-1.2904600000000013</v>
      </c>
      <c r="P22" t="str">
        <f t="shared" si="12"/>
        <v/>
      </c>
      <c r="Q22" t="str">
        <f t="shared" si="13"/>
        <v/>
      </c>
      <c r="R22" t="str">
        <f t="shared" si="14"/>
        <v/>
      </c>
      <c r="T22" t="str">
        <f t="shared" si="15"/>
        <v/>
      </c>
      <c r="U22" t="str">
        <f t="shared" si="16"/>
        <v/>
      </c>
      <c r="V22" t="str">
        <f t="shared" si="17"/>
        <v/>
      </c>
      <c r="X22" t="str">
        <f t="shared" si="18"/>
        <v/>
      </c>
      <c r="Y22" t="str">
        <f t="shared" si="19"/>
        <v/>
      </c>
      <c r="Z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F22" t="str">
        <f t="shared" si="24"/>
        <v/>
      </c>
      <c r="AG22" t="str">
        <f t="shared" si="25"/>
        <v/>
      </c>
      <c r="AH22" t="str">
        <f t="shared" si="26"/>
        <v/>
      </c>
      <c r="AJ22" t="str">
        <f t="shared" si="27"/>
        <v/>
      </c>
      <c r="AK22" t="str">
        <f t="shared" si="28"/>
        <v/>
      </c>
      <c r="AL22" t="str">
        <f t="shared" si="29"/>
        <v/>
      </c>
      <c r="AT22" s="1">
        <f t="shared" si="30"/>
        <v>41548</v>
      </c>
      <c r="AU22">
        <f t="shared" si="8"/>
        <v>1144</v>
      </c>
      <c r="AV22" s="6">
        <f t="shared" si="31"/>
        <v>47.168800000000005</v>
      </c>
      <c r="AW22" s="6">
        <f t="shared" si="32"/>
        <v>52.831200000000003</v>
      </c>
      <c r="AX22">
        <f t="shared" si="3"/>
        <v>39.6</v>
      </c>
      <c r="AY22">
        <f t="shared" si="4"/>
        <v>39</v>
      </c>
      <c r="AZ22">
        <f t="shared" si="5"/>
        <v>13.000000000000002</v>
      </c>
      <c r="BA22">
        <f t="shared" si="33"/>
        <v>8.4000000000000057</v>
      </c>
      <c r="BD22" s="4">
        <v>41.010599999999997</v>
      </c>
      <c r="BE22" s="4">
        <v>37.938899999999997</v>
      </c>
      <c r="BF22" s="4">
        <v>12.72805</v>
      </c>
      <c r="BG22">
        <f t="shared" si="34"/>
        <v>8.3224500000000035</v>
      </c>
      <c r="BS22" s="86">
        <v>20</v>
      </c>
      <c r="BT22" s="83">
        <v>41548</v>
      </c>
      <c r="BU22" s="4">
        <v>39.6</v>
      </c>
      <c r="BV22" s="4">
        <v>41.010599999999997</v>
      </c>
      <c r="BX22" s="86">
        <v>20</v>
      </c>
      <c r="BY22" s="83">
        <v>41548</v>
      </c>
      <c r="BZ22" s="4">
        <v>39</v>
      </c>
      <c r="CA22" s="4">
        <v>37.938899999999997</v>
      </c>
      <c r="CC22" s="86">
        <v>20</v>
      </c>
      <c r="CD22" s="83">
        <v>41548</v>
      </c>
      <c r="CE22" s="4">
        <v>13</v>
      </c>
      <c r="CF22" s="4">
        <v>12.72805</v>
      </c>
    </row>
    <row r="23" spans="1:84" x14ac:dyDescent="0.25">
      <c r="A23" s="2">
        <v>41591</v>
      </c>
      <c r="B23" t="s">
        <v>7</v>
      </c>
      <c r="C23">
        <v>930</v>
      </c>
      <c r="D23">
        <v>41</v>
      </c>
      <c r="E23">
        <v>38</v>
      </c>
      <c r="F23">
        <v>13</v>
      </c>
      <c r="H23" s="4">
        <v>40.538350000000001</v>
      </c>
      <c r="I23" s="4">
        <v>38.098860000000002</v>
      </c>
      <c r="J23" s="4">
        <v>12.762969999999999</v>
      </c>
      <c r="L23" t="str">
        <f t="shared" si="9"/>
        <v/>
      </c>
      <c r="M23" t="str">
        <f t="shared" si="10"/>
        <v/>
      </c>
      <c r="N23" t="str">
        <f t="shared" si="11"/>
        <v/>
      </c>
      <c r="P23" t="str">
        <f t="shared" si="12"/>
        <v/>
      </c>
      <c r="Q23" t="str">
        <f t="shared" si="13"/>
        <v/>
      </c>
      <c r="R23" t="str">
        <f t="shared" si="14"/>
        <v/>
      </c>
      <c r="T23">
        <f t="shared" si="15"/>
        <v>-0.46164999999999878</v>
      </c>
      <c r="U23">
        <f t="shared" si="16"/>
        <v>9.8860000000001946E-2</v>
      </c>
      <c r="V23">
        <f t="shared" si="17"/>
        <v>-0.23703000000000074</v>
      </c>
      <c r="X23" t="str">
        <f t="shared" si="18"/>
        <v/>
      </c>
      <c r="Y23" t="str">
        <f t="shared" si="19"/>
        <v/>
      </c>
      <c r="Z23" t="str">
        <f t="shared" si="20"/>
        <v/>
      </c>
      <c r="AB23" t="str">
        <f t="shared" si="21"/>
        <v/>
      </c>
      <c r="AC23" t="str">
        <f t="shared" si="22"/>
        <v/>
      </c>
      <c r="AD23" t="str">
        <f t="shared" si="23"/>
        <v/>
      </c>
      <c r="AF23" t="str">
        <f t="shared" si="24"/>
        <v/>
      </c>
      <c r="AG23" t="str">
        <f t="shared" si="25"/>
        <v/>
      </c>
      <c r="AH23" t="str">
        <f t="shared" si="26"/>
        <v/>
      </c>
      <c r="AJ23" t="str">
        <f t="shared" si="27"/>
        <v/>
      </c>
      <c r="AK23" t="str">
        <f t="shared" si="28"/>
        <v/>
      </c>
      <c r="AL23" t="str">
        <f t="shared" si="29"/>
        <v/>
      </c>
      <c r="AT23" s="1">
        <f t="shared" si="30"/>
        <v>41591</v>
      </c>
      <c r="AU23">
        <f t="shared" si="8"/>
        <v>513.99203041688827</v>
      </c>
      <c r="AV23" s="6">
        <f t="shared" si="31"/>
        <v>47.517475070000003</v>
      </c>
      <c r="AW23" s="6">
        <f t="shared" si="32"/>
        <v>52.482524930000004</v>
      </c>
      <c r="AX23">
        <f t="shared" si="3"/>
        <v>39.595790000000001</v>
      </c>
      <c r="AY23">
        <f t="shared" si="4"/>
        <v>36.955582999999997</v>
      </c>
      <c r="AZ23">
        <f t="shared" si="5"/>
        <v>15.135807</v>
      </c>
      <c r="BA23">
        <f t="shared" si="33"/>
        <v>8.3128200000000021</v>
      </c>
      <c r="BD23" s="4">
        <v>40.662500000000001</v>
      </c>
      <c r="BE23" s="4">
        <v>38.372430000000001</v>
      </c>
      <c r="BF23" s="4">
        <v>12.71062</v>
      </c>
      <c r="BG23">
        <f t="shared" si="34"/>
        <v>8.2544499999999914</v>
      </c>
      <c r="BS23" s="86">
        <v>21</v>
      </c>
      <c r="BT23" s="83">
        <v>41591</v>
      </c>
      <c r="BU23" s="4">
        <v>40.267940000000003</v>
      </c>
      <c r="BV23" s="4">
        <v>40.662500000000001</v>
      </c>
      <c r="BX23" s="86">
        <v>21</v>
      </c>
      <c r="BY23" s="83">
        <v>41591</v>
      </c>
      <c r="BZ23" s="4">
        <v>37.059289999999997</v>
      </c>
      <c r="CA23" s="4">
        <v>38.372430000000001</v>
      </c>
      <c r="CC23" s="86">
        <v>21</v>
      </c>
      <c r="CD23" s="83">
        <v>41591</v>
      </c>
      <c r="CE23" s="4">
        <v>15.5662</v>
      </c>
      <c r="CF23" s="4">
        <v>12.71062</v>
      </c>
    </row>
    <row r="24" spans="1:84" x14ac:dyDescent="0.25">
      <c r="A24" s="2">
        <v>41599</v>
      </c>
      <c r="B24" t="s">
        <v>6</v>
      </c>
      <c r="C24">
        <v>1254</v>
      </c>
      <c r="D24">
        <v>43.4</v>
      </c>
      <c r="E24">
        <v>35.799999999999997</v>
      </c>
      <c r="F24">
        <v>11</v>
      </c>
      <c r="H24" s="4">
        <v>40.526420000000002</v>
      </c>
      <c r="I24" s="4">
        <v>38.211709999999997</v>
      </c>
      <c r="J24" s="4">
        <v>12.77291</v>
      </c>
      <c r="L24" t="str">
        <f t="shared" si="9"/>
        <v/>
      </c>
      <c r="M24" t="str">
        <f t="shared" si="10"/>
        <v/>
      </c>
      <c r="N24" t="str">
        <f t="shared" si="11"/>
        <v/>
      </c>
      <c r="P24">
        <f t="shared" si="12"/>
        <v>-2.8735799999999969</v>
      </c>
      <c r="Q24">
        <f t="shared" si="13"/>
        <v>2.4117099999999994</v>
      </c>
      <c r="R24">
        <f t="shared" si="14"/>
        <v>1.7729099999999995</v>
      </c>
      <c r="T24" t="str">
        <f t="shared" si="15"/>
        <v/>
      </c>
      <c r="U24" t="str">
        <f t="shared" si="16"/>
        <v/>
      </c>
      <c r="V24" t="str">
        <f t="shared" si="17"/>
        <v/>
      </c>
      <c r="X24" t="str">
        <f t="shared" si="18"/>
        <v/>
      </c>
      <c r="Y24" t="str">
        <f t="shared" si="19"/>
        <v/>
      </c>
      <c r="Z24" t="str">
        <f t="shared" si="20"/>
        <v/>
      </c>
      <c r="AB24" t="str">
        <f t="shared" si="21"/>
        <v/>
      </c>
      <c r="AC24" t="str">
        <f t="shared" si="22"/>
        <v/>
      </c>
      <c r="AD24" t="str">
        <f t="shared" si="23"/>
        <v/>
      </c>
      <c r="AF24" t="str">
        <f t="shared" si="24"/>
        <v/>
      </c>
      <c r="AG24" t="str">
        <f t="shared" si="25"/>
        <v/>
      </c>
      <c r="AH24" t="str">
        <f t="shared" si="26"/>
        <v/>
      </c>
      <c r="AJ24" t="str">
        <f t="shared" si="27"/>
        <v/>
      </c>
      <c r="AK24" t="str">
        <f t="shared" si="28"/>
        <v/>
      </c>
      <c r="AL24" t="str">
        <f t="shared" si="29"/>
        <v/>
      </c>
      <c r="AT24" s="1">
        <f t="shared" si="30"/>
        <v>41599</v>
      </c>
      <c r="AU24">
        <f t="shared" si="8"/>
        <v>463.98</v>
      </c>
      <c r="AV24" s="6">
        <f t="shared" si="31"/>
        <v>52.201300000000003</v>
      </c>
      <c r="AW24" s="6">
        <f t="shared" si="32"/>
        <v>47.798700000000004</v>
      </c>
      <c r="AX24">
        <f t="shared" si="3"/>
        <v>43.4</v>
      </c>
      <c r="AY24">
        <f t="shared" si="4"/>
        <v>34.199999999999996</v>
      </c>
      <c r="AZ24">
        <f t="shared" si="5"/>
        <v>11.5</v>
      </c>
      <c r="BA24">
        <f t="shared" si="33"/>
        <v>10.900000000000006</v>
      </c>
      <c r="BD24" s="4">
        <v>40.659860000000002</v>
      </c>
      <c r="BE24" s="4">
        <v>38.370069999999998</v>
      </c>
      <c r="BF24" s="4">
        <v>12.727510000000001</v>
      </c>
      <c r="BG24">
        <f t="shared" si="34"/>
        <v>8.2425599999999974</v>
      </c>
      <c r="BS24" s="86">
        <v>22</v>
      </c>
      <c r="BT24" s="83">
        <v>41599</v>
      </c>
      <c r="BU24" s="4">
        <v>43.4</v>
      </c>
      <c r="BV24" s="4">
        <v>40.659860000000002</v>
      </c>
      <c r="BX24" s="86">
        <v>22</v>
      </c>
      <c r="BY24" s="83">
        <v>41599</v>
      </c>
      <c r="BZ24" s="4">
        <v>34.200000000000003</v>
      </c>
      <c r="CA24" s="4">
        <v>38.370069999999998</v>
      </c>
      <c r="CC24" s="86">
        <v>22</v>
      </c>
      <c r="CD24" s="83">
        <v>41599</v>
      </c>
      <c r="CE24" s="4">
        <v>11.5</v>
      </c>
      <c r="CF24" s="4">
        <v>12.727510000000001</v>
      </c>
    </row>
    <row r="25" spans="1:84" x14ac:dyDescent="0.25">
      <c r="A25" s="2">
        <v>41601</v>
      </c>
      <c r="B25" t="s">
        <v>8</v>
      </c>
      <c r="C25">
        <v>1000</v>
      </c>
      <c r="D25">
        <v>40</v>
      </c>
      <c r="E25">
        <v>38</v>
      </c>
      <c r="F25">
        <v>13</v>
      </c>
      <c r="H25" s="4">
        <v>40.518389999999997</v>
      </c>
      <c r="I25" s="4">
        <v>38.239930000000001</v>
      </c>
      <c r="J25" s="4">
        <v>12.775399999999999</v>
      </c>
      <c r="L25" t="str">
        <f t="shared" si="9"/>
        <v/>
      </c>
      <c r="M25" t="str">
        <f t="shared" si="10"/>
        <v/>
      </c>
      <c r="N25" t="str">
        <f t="shared" si="11"/>
        <v/>
      </c>
      <c r="P25" t="str">
        <f t="shared" si="12"/>
        <v/>
      </c>
      <c r="Q25" t="str">
        <f t="shared" si="13"/>
        <v/>
      </c>
      <c r="R25" t="str">
        <f t="shared" si="14"/>
        <v/>
      </c>
      <c r="T25" t="str">
        <f t="shared" si="15"/>
        <v/>
      </c>
      <c r="U25" t="str">
        <f t="shared" si="16"/>
        <v/>
      </c>
      <c r="V25" t="str">
        <f t="shared" si="17"/>
        <v/>
      </c>
      <c r="X25">
        <f t="shared" si="18"/>
        <v>0.51838999999999658</v>
      </c>
      <c r="Y25">
        <f t="shared" si="19"/>
        <v>0.23993000000000109</v>
      </c>
      <c r="Z25">
        <f t="shared" si="20"/>
        <v>-0.22460000000000058</v>
      </c>
      <c r="AB25" t="str">
        <f t="shared" si="21"/>
        <v/>
      </c>
      <c r="AC25" t="str">
        <f t="shared" si="22"/>
        <v/>
      </c>
      <c r="AD25" t="str">
        <f t="shared" si="23"/>
        <v/>
      </c>
      <c r="AF25" t="str">
        <f t="shared" si="24"/>
        <v/>
      </c>
      <c r="AG25" t="str">
        <f t="shared" si="25"/>
        <v/>
      </c>
      <c r="AH25" t="str">
        <f t="shared" si="26"/>
        <v/>
      </c>
      <c r="AJ25" t="str">
        <f t="shared" si="27"/>
        <v/>
      </c>
      <c r="AK25" t="str">
        <f t="shared" si="28"/>
        <v/>
      </c>
      <c r="AL25" t="str">
        <f t="shared" si="29"/>
        <v/>
      </c>
      <c r="AT25" s="1">
        <f t="shared" si="30"/>
        <v>41601</v>
      </c>
      <c r="AU25">
        <f t="shared" si="8"/>
        <v>1027.5229357798166</v>
      </c>
      <c r="AV25" s="6">
        <f t="shared" si="31"/>
        <v>48.717199999999998</v>
      </c>
      <c r="AW25" s="6">
        <f t="shared" si="32"/>
        <v>51.282800000000002</v>
      </c>
      <c r="AX25">
        <f t="shared" si="3"/>
        <v>40.799999999999997</v>
      </c>
      <c r="AY25">
        <f t="shared" si="4"/>
        <v>38.6</v>
      </c>
      <c r="AZ25">
        <f t="shared" si="5"/>
        <v>11</v>
      </c>
      <c r="BA25">
        <f t="shared" si="33"/>
        <v>9.5999999999999943</v>
      </c>
      <c r="BD25" s="4">
        <v>40.659199999999998</v>
      </c>
      <c r="BE25" s="4">
        <v>38.369480000000003</v>
      </c>
      <c r="BF25" s="4">
        <v>12.73174</v>
      </c>
      <c r="BG25">
        <f t="shared" si="34"/>
        <v>8.2395799999999895</v>
      </c>
      <c r="BS25" s="86">
        <v>23</v>
      </c>
      <c r="BT25" s="83">
        <v>41601</v>
      </c>
      <c r="BU25" s="4">
        <v>40.799999999999997</v>
      </c>
      <c r="BV25" s="4">
        <v>40.659199999999998</v>
      </c>
      <c r="BX25" s="86">
        <v>23</v>
      </c>
      <c r="BY25" s="83">
        <v>41601</v>
      </c>
      <c r="BZ25" s="4">
        <v>38.6</v>
      </c>
      <c r="CA25" s="4">
        <v>38.369480000000003</v>
      </c>
      <c r="CC25" s="86">
        <v>23</v>
      </c>
      <c r="CD25" s="83">
        <v>41601</v>
      </c>
      <c r="CE25" s="4">
        <v>11</v>
      </c>
      <c r="CF25" s="4">
        <v>12.73174</v>
      </c>
    </row>
    <row r="26" spans="1:84" x14ac:dyDescent="0.25">
      <c r="A26" s="2">
        <v>41623</v>
      </c>
      <c r="B26" t="s">
        <v>7</v>
      </c>
      <c r="C26">
        <v>734</v>
      </c>
      <c r="D26">
        <v>43</v>
      </c>
      <c r="E26">
        <v>40</v>
      </c>
      <c r="F26">
        <v>9</v>
      </c>
      <c r="H26" s="4">
        <v>40.509909999999998</v>
      </c>
      <c r="I26" s="4">
        <v>38.390610000000002</v>
      </c>
      <c r="J26" s="4">
        <v>12.80274</v>
      </c>
      <c r="L26" t="str">
        <f t="shared" si="9"/>
        <v/>
      </c>
      <c r="M26" t="str">
        <f t="shared" si="10"/>
        <v/>
      </c>
      <c r="N26" t="str">
        <f t="shared" si="11"/>
        <v/>
      </c>
      <c r="P26" t="str">
        <f t="shared" si="12"/>
        <v/>
      </c>
      <c r="Q26" t="str">
        <f t="shared" si="13"/>
        <v/>
      </c>
      <c r="R26" t="str">
        <f t="shared" si="14"/>
        <v/>
      </c>
      <c r="T26">
        <f t="shared" si="15"/>
        <v>-2.4900900000000021</v>
      </c>
      <c r="U26">
        <f t="shared" si="16"/>
        <v>-1.6093899999999977</v>
      </c>
      <c r="V26">
        <f t="shared" si="17"/>
        <v>3.80274</v>
      </c>
      <c r="X26" t="str">
        <f t="shared" si="18"/>
        <v/>
      </c>
      <c r="Y26" t="str">
        <f t="shared" si="19"/>
        <v/>
      </c>
      <c r="Z26" t="str">
        <f t="shared" si="20"/>
        <v/>
      </c>
      <c r="AB26" t="str">
        <f t="shared" si="21"/>
        <v/>
      </c>
      <c r="AC26" t="str">
        <f t="shared" si="22"/>
        <v/>
      </c>
      <c r="AD26" t="str">
        <f t="shared" si="23"/>
        <v/>
      </c>
      <c r="AF26" t="str">
        <f t="shared" si="24"/>
        <v/>
      </c>
      <c r="AG26" t="str">
        <f t="shared" si="25"/>
        <v/>
      </c>
      <c r="AH26" t="str">
        <f t="shared" si="26"/>
        <v/>
      </c>
      <c r="AJ26" t="str">
        <f t="shared" si="27"/>
        <v/>
      </c>
      <c r="AK26" t="str">
        <f t="shared" si="28"/>
        <v/>
      </c>
      <c r="AL26" t="str">
        <f t="shared" si="29"/>
        <v/>
      </c>
      <c r="AT26" s="1">
        <f t="shared" si="30"/>
        <v>41623</v>
      </c>
      <c r="AU26">
        <f t="shared" si="8"/>
        <v>405.66682830752256</v>
      </c>
      <c r="AV26" s="6">
        <f t="shared" si="31"/>
        <v>48.757475069999998</v>
      </c>
      <c r="AW26" s="6">
        <f t="shared" si="32"/>
        <v>51.242524930000002</v>
      </c>
      <c r="AX26">
        <f t="shared" si="3"/>
        <v>41.595790000000001</v>
      </c>
      <c r="AY26">
        <f t="shared" si="4"/>
        <v>38.955582999999997</v>
      </c>
      <c r="AZ26">
        <f t="shared" si="5"/>
        <v>11.135807</v>
      </c>
      <c r="BA26">
        <f t="shared" si="33"/>
        <v>8.3128200000000021</v>
      </c>
      <c r="BD26" s="4">
        <v>40.612220000000001</v>
      </c>
      <c r="BE26" s="4">
        <v>38.36298</v>
      </c>
      <c r="BF26" s="4">
        <v>12.77819</v>
      </c>
      <c r="BG26">
        <f t="shared" si="34"/>
        <v>8.246610000000004</v>
      </c>
      <c r="BS26" s="86">
        <v>24</v>
      </c>
      <c r="BT26" s="83">
        <v>41623</v>
      </c>
      <c r="BU26" s="4">
        <v>42.267940000000003</v>
      </c>
      <c r="BV26" s="4">
        <v>40.612220000000001</v>
      </c>
      <c r="BX26" s="86">
        <v>24</v>
      </c>
      <c r="BY26" s="83">
        <v>41623</v>
      </c>
      <c r="BZ26" s="4">
        <v>39.059289999999997</v>
      </c>
      <c r="CA26" s="4">
        <v>38.36298</v>
      </c>
      <c r="CC26" s="86">
        <v>24</v>
      </c>
      <c r="CD26" s="83">
        <v>41623</v>
      </c>
      <c r="CE26" s="4">
        <v>11.5662</v>
      </c>
      <c r="CF26" s="4">
        <v>12.77819</v>
      </c>
    </row>
    <row r="27" spans="1:84" x14ac:dyDescent="0.25">
      <c r="A27" s="2">
        <v>41654</v>
      </c>
      <c r="B27" t="s">
        <v>7</v>
      </c>
      <c r="C27">
        <v>798</v>
      </c>
      <c r="D27">
        <v>40</v>
      </c>
      <c r="E27">
        <v>40</v>
      </c>
      <c r="F27">
        <v>11</v>
      </c>
      <c r="H27" s="4">
        <v>40.497959999999999</v>
      </c>
      <c r="I27" s="4">
        <v>38.602930000000001</v>
      </c>
      <c r="J27" s="4">
        <v>12.84126</v>
      </c>
      <c r="L27" t="str">
        <f t="shared" si="9"/>
        <v/>
      </c>
      <c r="M27" t="str">
        <f t="shared" si="10"/>
        <v/>
      </c>
      <c r="N27" t="str">
        <f t="shared" si="11"/>
        <v/>
      </c>
      <c r="P27" t="str">
        <f t="shared" si="12"/>
        <v/>
      </c>
      <c r="Q27" t="str">
        <f t="shared" si="13"/>
        <v/>
      </c>
      <c r="R27" t="str">
        <f t="shared" si="14"/>
        <v/>
      </c>
      <c r="T27">
        <f t="shared" si="15"/>
        <v>0.49795999999999907</v>
      </c>
      <c r="U27">
        <f t="shared" si="16"/>
        <v>-1.3970699999999994</v>
      </c>
      <c r="V27">
        <f t="shared" si="17"/>
        <v>1.8412600000000001</v>
      </c>
      <c r="X27" t="str">
        <f t="shared" si="18"/>
        <v/>
      </c>
      <c r="Y27" t="str">
        <f t="shared" si="19"/>
        <v/>
      </c>
      <c r="Z27" t="str">
        <f t="shared" si="20"/>
        <v/>
      </c>
      <c r="AB27" t="str">
        <f t="shared" si="21"/>
        <v/>
      </c>
      <c r="AC27" t="str">
        <f t="shared" si="22"/>
        <v/>
      </c>
      <c r="AD27" t="str">
        <f t="shared" si="23"/>
        <v/>
      </c>
      <c r="AF27" t="str">
        <f t="shared" si="24"/>
        <v/>
      </c>
      <c r="AG27" t="str">
        <f t="shared" si="25"/>
        <v/>
      </c>
      <c r="AH27" t="str">
        <f t="shared" si="26"/>
        <v/>
      </c>
      <c r="AJ27" t="str">
        <f t="shared" si="27"/>
        <v/>
      </c>
      <c r="AK27" t="str">
        <f t="shared" si="28"/>
        <v/>
      </c>
      <c r="AL27" t="str">
        <f t="shared" si="29"/>
        <v/>
      </c>
      <c r="AT27" s="1">
        <f t="shared" si="30"/>
        <v>41654</v>
      </c>
      <c r="AU27">
        <f t="shared" si="8"/>
        <v>441.03832287384603</v>
      </c>
      <c r="AV27" s="6">
        <f t="shared" si="31"/>
        <v>46.744475070000007</v>
      </c>
      <c r="AW27" s="6">
        <f t="shared" si="32"/>
        <v>53.25552493</v>
      </c>
      <c r="AX27">
        <f t="shared" si="3"/>
        <v>38.595790000000001</v>
      </c>
      <c r="AY27">
        <f t="shared" si="4"/>
        <v>38.955582999999997</v>
      </c>
      <c r="AZ27">
        <f t="shared" si="5"/>
        <v>13.135807</v>
      </c>
      <c r="BA27">
        <f t="shared" si="33"/>
        <v>9.3128200000000021</v>
      </c>
      <c r="BD27" s="4">
        <v>40.397730000000003</v>
      </c>
      <c r="BE27" s="4">
        <v>38.541800000000002</v>
      </c>
      <c r="BF27" s="4">
        <v>12.84365</v>
      </c>
      <c r="BG27">
        <f t="shared" si="34"/>
        <v>8.2168199999999985</v>
      </c>
      <c r="BS27" s="86">
        <v>25</v>
      </c>
      <c r="BT27" s="83">
        <v>41654</v>
      </c>
      <c r="BU27" s="4">
        <v>39.267940000000003</v>
      </c>
      <c r="BV27" s="4">
        <v>40.397730000000003</v>
      </c>
      <c r="BX27" s="86">
        <v>25</v>
      </c>
      <c r="BY27" s="83">
        <v>41654</v>
      </c>
      <c r="BZ27" s="4">
        <v>39.059289999999997</v>
      </c>
      <c r="CA27" s="4">
        <v>38.541800000000002</v>
      </c>
      <c r="CC27" s="86">
        <v>25</v>
      </c>
      <c r="CD27" s="83">
        <v>41654</v>
      </c>
      <c r="CE27" s="4">
        <v>13.5662</v>
      </c>
      <c r="CF27" s="4">
        <v>12.84365</v>
      </c>
    </row>
    <row r="28" spans="1:84" x14ac:dyDescent="0.25">
      <c r="A28" s="2">
        <v>41685</v>
      </c>
      <c r="B28" t="s">
        <v>7</v>
      </c>
      <c r="C28">
        <v>1039</v>
      </c>
      <c r="D28">
        <v>37</v>
      </c>
      <c r="E28">
        <v>42</v>
      </c>
      <c r="F28">
        <v>12</v>
      </c>
      <c r="H28" s="4">
        <v>40.294269999999997</v>
      </c>
      <c r="I28" s="4">
        <v>38.84854</v>
      </c>
      <c r="J28" s="4">
        <v>12.98199</v>
      </c>
      <c r="L28" t="str">
        <f t="shared" si="9"/>
        <v/>
      </c>
      <c r="M28" t="str">
        <f t="shared" si="10"/>
        <v/>
      </c>
      <c r="N28" t="str">
        <f t="shared" si="11"/>
        <v/>
      </c>
      <c r="P28" t="str">
        <f t="shared" si="12"/>
        <v/>
      </c>
      <c r="Q28" t="str">
        <f t="shared" si="13"/>
        <v/>
      </c>
      <c r="R28" t="str">
        <f t="shared" si="14"/>
        <v/>
      </c>
      <c r="T28">
        <f t="shared" si="15"/>
        <v>3.2942699999999974</v>
      </c>
      <c r="U28">
        <f t="shared" si="16"/>
        <v>-3.1514600000000002</v>
      </c>
      <c r="V28">
        <f t="shared" si="17"/>
        <v>0.9819899999999997</v>
      </c>
      <c r="X28" t="str">
        <f t="shared" si="18"/>
        <v/>
      </c>
      <c r="Y28" t="str">
        <f t="shared" si="19"/>
        <v/>
      </c>
      <c r="Z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F28" t="str">
        <f t="shared" si="24"/>
        <v/>
      </c>
      <c r="AG28" t="str">
        <f t="shared" si="25"/>
        <v/>
      </c>
      <c r="AH28" t="str">
        <f t="shared" si="26"/>
        <v/>
      </c>
      <c r="AJ28" t="str">
        <f t="shared" si="27"/>
        <v/>
      </c>
      <c r="AK28" t="str">
        <f t="shared" si="28"/>
        <v/>
      </c>
      <c r="AL28" t="str">
        <f t="shared" si="29"/>
        <v/>
      </c>
      <c r="AT28" s="1">
        <f t="shared" si="30"/>
        <v>41685</v>
      </c>
      <c r="AU28">
        <f t="shared" si="8"/>
        <v>574.23410710015798</v>
      </c>
      <c r="AV28" s="6">
        <f t="shared" si="31"/>
        <v>43.934475070000005</v>
      </c>
      <c r="AW28" s="6">
        <f t="shared" si="32"/>
        <v>56.065524930000002</v>
      </c>
      <c r="AX28">
        <f t="shared" si="3"/>
        <v>35.595790000000001</v>
      </c>
      <c r="AY28">
        <f t="shared" si="4"/>
        <v>40.955582999999997</v>
      </c>
      <c r="AZ28">
        <f t="shared" si="5"/>
        <v>14.135807</v>
      </c>
      <c r="BA28">
        <f t="shared" si="33"/>
        <v>9.3128200000000021</v>
      </c>
      <c r="BD28" s="4">
        <v>40.183239999999998</v>
      </c>
      <c r="BE28" s="4">
        <v>38.720619999999997</v>
      </c>
      <c r="BF28" s="4">
        <v>12.90911</v>
      </c>
      <c r="BG28">
        <f t="shared" si="34"/>
        <v>8.1870300000000071</v>
      </c>
      <c r="BS28" s="86">
        <v>26</v>
      </c>
      <c r="BT28" s="83">
        <v>41685</v>
      </c>
      <c r="BU28" s="4">
        <v>36.267940000000003</v>
      </c>
      <c r="BV28" s="4">
        <v>40.183239999999998</v>
      </c>
      <c r="BX28" s="86">
        <v>26</v>
      </c>
      <c r="BY28" s="83">
        <v>41685</v>
      </c>
      <c r="BZ28" s="4">
        <v>41.059289999999997</v>
      </c>
      <c r="CA28" s="4">
        <v>38.720619999999997</v>
      </c>
      <c r="CC28" s="86">
        <v>26</v>
      </c>
      <c r="CD28" s="83">
        <v>41685</v>
      </c>
      <c r="CE28" s="4">
        <v>14.5662</v>
      </c>
      <c r="CF28" s="4">
        <v>12.90911</v>
      </c>
    </row>
    <row r="29" spans="1:84" x14ac:dyDescent="0.25">
      <c r="A29" s="2">
        <v>41695</v>
      </c>
      <c r="B29" t="s">
        <v>5</v>
      </c>
      <c r="C29">
        <v>1143</v>
      </c>
      <c r="D29">
        <v>38</v>
      </c>
      <c r="E29">
        <v>39</v>
      </c>
      <c r="F29">
        <v>13</v>
      </c>
      <c r="H29" s="4">
        <v>40.228560000000002</v>
      </c>
      <c r="I29" s="4">
        <v>38.927770000000002</v>
      </c>
      <c r="J29" s="4">
        <v>13.02739</v>
      </c>
      <c r="L29">
        <f t="shared" si="9"/>
        <v>2.2285600000000017</v>
      </c>
      <c r="M29">
        <f t="shared" si="10"/>
        <v>-7.2229999999997574E-2</v>
      </c>
      <c r="N29">
        <f t="shared" si="11"/>
        <v>2.739000000000047E-2</v>
      </c>
      <c r="P29" t="str">
        <f t="shared" si="12"/>
        <v/>
      </c>
      <c r="Q29" t="str">
        <f t="shared" si="13"/>
        <v/>
      </c>
      <c r="R29" t="str">
        <f t="shared" si="14"/>
        <v/>
      </c>
      <c r="T29" t="str">
        <f t="shared" si="15"/>
        <v/>
      </c>
      <c r="U29" t="str">
        <f t="shared" si="16"/>
        <v/>
      </c>
      <c r="V29" t="str">
        <f t="shared" si="17"/>
        <v/>
      </c>
      <c r="X29" t="str">
        <f t="shared" si="18"/>
        <v/>
      </c>
      <c r="Y29" t="str">
        <f t="shared" si="19"/>
        <v/>
      </c>
      <c r="Z29" t="str">
        <f t="shared" si="20"/>
        <v/>
      </c>
      <c r="AB29" t="str">
        <f t="shared" si="21"/>
        <v/>
      </c>
      <c r="AC29" t="str">
        <f t="shared" si="22"/>
        <v/>
      </c>
      <c r="AD29" t="str">
        <f t="shared" si="23"/>
        <v/>
      </c>
      <c r="AF29" t="str">
        <f t="shared" si="24"/>
        <v/>
      </c>
      <c r="AG29" t="str">
        <f t="shared" si="25"/>
        <v/>
      </c>
      <c r="AH29" t="str">
        <f t="shared" si="26"/>
        <v/>
      </c>
      <c r="AJ29" t="str">
        <f t="shared" si="27"/>
        <v/>
      </c>
      <c r="AK29" t="str">
        <f t="shared" si="28"/>
        <v/>
      </c>
      <c r="AL29" t="str">
        <f t="shared" si="29"/>
        <v/>
      </c>
      <c r="AT29" s="1">
        <f t="shared" si="30"/>
        <v>41695</v>
      </c>
      <c r="AU29">
        <f t="shared" si="8"/>
        <v>1143</v>
      </c>
      <c r="AV29" s="6">
        <f t="shared" si="31"/>
        <v>46.585800000000006</v>
      </c>
      <c r="AW29" s="6">
        <f t="shared" si="32"/>
        <v>53.414200000000001</v>
      </c>
      <c r="AX29">
        <f t="shared" si="3"/>
        <v>38.6</v>
      </c>
      <c r="AY29">
        <f t="shared" si="4"/>
        <v>40</v>
      </c>
      <c r="AZ29">
        <f t="shared" si="5"/>
        <v>12</v>
      </c>
      <c r="BA29">
        <f t="shared" si="33"/>
        <v>9.4000000000000057</v>
      </c>
      <c r="BD29" s="4">
        <v>40.261429999999997</v>
      </c>
      <c r="BE29" s="4">
        <v>38.778309999999998</v>
      </c>
      <c r="BF29" s="4">
        <v>12.93022</v>
      </c>
      <c r="BG29">
        <f t="shared" si="34"/>
        <v>8.0300399999999996</v>
      </c>
      <c r="BS29" s="86">
        <v>27</v>
      </c>
      <c r="BT29" s="83">
        <v>41695</v>
      </c>
      <c r="BU29" s="4">
        <v>38.6</v>
      </c>
      <c r="BV29" s="4">
        <v>40.261429999999997</v>
      </c>
      <c r="BX29" s="86">
        <v>27</v>
      </c>
      <c r="BY29" s="83">
        <v>41695</v>
      </c>
      <c r="BZ29" s="4">
        <v>40</v>
      </c>
      <c r="CA29" s="4">
        <v>38.778309999999998</v>
      </c>
      <c r="CC29" s="86">
        <v>27</v>
      </c>
      <c r="CD29" s="83">
        <v>41695</v>
      </c>
      <c r="CE29" s="4">
        <v>12</v>
      </c>
      <c r="CF29" s="4">
        <v>12.93022</v>
      </c>
    </row>
    <row r="30" spans="1:84" x14ac:dyDescent="0.25">
      <c r="A30" s="2">
        <v>41696</v>
      </c>
      <c r="B30" t="s">
        <v>8</v>
      </c>
      <c r="C30">
        <v>1000</v>
      </c>
      <c r="D30">
        <v>41</v>
      </c>
      <c r="E30">
        <v>37</v>
      </c>
      <c r="F30">
        <v>17</v>
      </c>
      <c r="H30" s="4">
        <v>40.237720000000003</v>
      </c>
      <c r="I30" s="4">
        <v>38.935690000000001</v>
      </c>
      <c r="J30" s="4">
        <v>13.031929999999999</v>
      </c>
      <c r="L30" t="str">
        <f t="shared" si="9"/>
        <v/>
      </c>
      <c r="M30" t="str">
        <f t="shared" si="10"/>
        <v/>
      </c>
      <c r="N30" t="str">
        <f t="shared" si="11"/>
        <v/>
      </c>
      <c r="P30" t="str">
        <f t="shared" si="12"/>
        <v/>
      </c>
      <c r="Q30" t="str">
        <f t="shared" si="13"/>
        <v/>
      </c>
      <c r="R30" t="str">
        <f t="shared" si="14"/>
        <v/>
      </c>
      <c r="T30" t="str">
        <f t="shared" si="15"/>
        <v/>
      </c>
      <c r="U30" t="str">
        <f t="shared" si="16"/>
        <v/>
      </c>
      <c r="V30" t="str">
        <f t="shared" si="17"/>
        <v/>
      </c>
      <c r="X30">
        <f t="shared" si="18"/>
        <v>-0.76227999999999696</v>
      </c>
      <c r="Y30">
        <f t="shared" si="19"/>
        <v>1.935690000000001</v>
      </c>
      <c r="Z30">
        <f t="shared" si="20"/>
        <v>-3.9680700000000009</v>
      </c>
      <c r="AB30" t="str">
        <f t="shared" si="21"/>
        <v/>
      </c>
      <c r="AC30" t="str">
        <f t="shared" si="22"/>
        <v/>
      </c>
      <c r="AD30" t="str">
        <f t="shared" si="23"/>
        <v/>
      </c>
      <c r="AF30" t="str">
        <f t="shared" si="24"/>
        <v/>
      </c>
      <c r="AG30" t="str">
        <f t="shared" si="25"/>
        <v/>
      </c>
      <c r="AH30" t="str">
        <f t="shared" si="26"/>
        <v/>
      </c>
      <c r="AJ30" t="str">
        <f t="shared" si="27"/>
        <v/>
      </c>
      <c r="AK30" t="str">
        <f t="shared" si="28"/>
        <v/>
      </c>
      <c r="AL30" t="str">
        <f t="shared" si="29"/>
        <v/>
      </c>
      <c r="AT30" s="1">
        <f t="shared" si="30"/>
        <v>41696</v>
      </c>
      <c r="AU30">
        <f t="shared" si="8"/>
        <v>1027.5229357798166</v>
      </c>
      <c r="AV30" s="6">
        <f t="shared" si="31"/>
        <v>48.049199999999992</v>
      </c>
      <c r="AW30" s="6">
        <f t="shared" si="32"/>
        <v>51.950800000000001</v>
      </c>
      <c r="AX30">
        <f t="shared" si="3"/>
        <v>41.8</v>
      </c>
      <c r="AY30">
        <f t="shared" si="4"/>
        <v>37.6</v>
      </c>
      <c r="AZ30">
        <f t="shared" si="5"/>
        <v>15</v>
      </c>
      <c r="BA30">
        <f t="shared" si="33"/>
        <v>5.5999999999999943</v>
      </c>
      <c r="BD30" s="4">
        <v>40.270159999999997</v>
      </c>
      <c r="BE30" s="4">
        <v>38.78586</v>
      </c>
      <c r="BF30" s="4">
        <v>12.93252</v>
      </c>
      <c r="BG30">
        <f t="shared" si="34"/>
        <v>8.0114600000000138</v>
      </c>
      <c r="BS30" s="86">
        <v>28</v>
      </c>
      <c r="BT30" s="83">
        <v>41696</v>
      </c>
      <c r="BU30" s="4">
        <v>41.8</v>
      </c>
      <c r="BV30" s="4">
        <v>40.270159999999997</v>
      </c>
      <c r="BX30" s="86">
        <v>28</v>
      </c>
      <c r="BY30" s="83">
        <v>41696</v>
      </c>
      <c r="BZ30" s="4">
        <v>37.6</v>
      </c>
      <c r="CA30" s="4">
        <v>38.78586</v>
      </c>
      <c r="CC30" s="86">
        <v>28</v>
      </c>
      <c r="CD30" s="83">
        <v>41696</v>
      </c>
      <c r="CE30" s="4">
        <v>15</v>
      </c>
      <c r="CF30" s="4">
        <v>12.93252</v>
      </c>
    </row>
    <row r="31" spans="1:84" x14ac:dyDescent="0.25">
      <c r="A31" s="2">
        <v>41697</v>
      </c>
      <c r="B31" t="s">
        <v>9</v>
      </c>
      <c r="C31">
        <v>800</v>
      </c>
      <c r="D31">
        <v>42</v>
      </c>
      <c r="E31">
        <v>39</v>
      </c>
      <c r="F31">
        <v>12</v>
      </c>
      <c r="H31" s="4">
        <v>40.242640000000002</v>
      </c>
      <c r="I31" s="4">
        <v>38.94211</v>
      </c>
      <c r="J31" s="4">
        <v>13.03646</v>
      </c>
      <c r="L31" t="str">
        <f t="shared" si="9"/>
        <v/>
      </c>
      <c r="M31" t="str">
        <f t="shared" si="10"/>
        <v/>
      </c>
      <c r="N31" t="str">
        <f t="shared" si="11"/>
        <v/>
      </c>
      <c r="P31" t="str">
        <f t="shared" si="12"/>
        <v/>
      </c>
      <c r="Q31" t="str">
        <f t="shared" si="13"/>
        <v/>
      </c>
      <c r="R31" t="str">
        <f t="shared" si="14"/>
        <v/>
      </c>
      <c r="T31" t="str">
        <f t="shared" si="15"/>
        <v/>
      </c>
      <c r="U31" t="str">
        <f t="shared" si="16"/>
        <v/>
      </c>
      <c r="V31" t="str">
        <f t="shared" si="17"/>
        <v/>
      </c>
      <c r="X31" t="str">
        <f t="shared" si="18"/>
        <v/>
      </c>
      <c r="Y31" t="str">
        <f t="shared" si="19"/>
        <v/>
      </c>
      <c r="Z31" t="str">
        <f t="shared" si="20"/>
        <v/>
      </c>
      <c r="AB31">
        <f t="shared" si="21"/>
        <v>-1.7573599999999985</v>
      </c>
      <c r="AC31">
        <f t="shared" si="22"/>
        <v>-5.7890000000000441E-2</v>
      </c>
      <c r="AD31">
        <f t="shared" si="23"/>
        <v>1.0364599999999999</v>
      </c>
      <c r="AF31" t="str">
        <f t="shared" si="24"/>
        <v/>
      </c>
      <c r="AG31" t="str">
        <f t="shared" si="25"/>
        <v/>
      </c>
      <c r="AH31" t="str">
        <f t="shared" si="26"/>
        <v/>
      </c>
      <c r="AJ31" t="str">
        <f t="shared" si="27"/>
        <v/>
      </c>
      <c r="AK31" t="str">
        <f t="shared" si="28"/>
        <v/>
      </c>
      <c r="AL31" t="str">
        <f t="shared" si="29"/>
        <v/>
      </c>
      <c r="AT31" s="1">
        <f t="shared" si="30"/>
        <v>41697</v>
      </c>
      <c r="AU31">
        <f t="shared" si="8"/>
        <v>904.58715596330285</v>
      </c>
      <c r="AV31" s="6">
        <f t="shared" si="31"/>
        <v>49.88880000000001</v>
      </c>
      <c r="AW31" s="6">
        <f t="shared" si="32"/>
        <v>50.111200000000004</v>
      </c>
      <c r="AX31">
        <f t="shared" si="3"/>
        <v>42.7</v>
      </c>
      <c r="AY31">
        <f t="shared" si="4"/>
        <v>37.9</v>
      </c>
      <c r="AZ31">
        <f t="shared" si="5"/>
        <v>11</v>
      </c>
      <c r="BA31">
        <f t="shared" si="33"/>
        <v>8.4000000000000057</v>
      </c>
      <c r="BD31" s="4">
        <v>40.2789</v>
      </c>
      <c r="BE31" s="4">
        <v>38.793410000000002</v>
      </c>
      <c r="BF31" s="4">
        <v>12.93482</v>
      </c>
      <c r="BG31">
        <f t="shared" si="34"/>
        <v>7.9928699999999964</v>
      </c>
      <c r="BS31" s="86">
        <v>29</v>
      </c>
      <c r="BT31" s="83">
        <v>41697</v>
      </c>
      <c r="BU31" s="4">
        <v>42.7</v>
      </c>
      <c r="BV31" s="4">
        <v>40.2789</v>
      </c>
      <c r="BX31" s="86">
        <v>29</v>
      </c>
      <c r="BY31" s="83">
        <v>41697</v>
      </c>
      <c r="BZ31" s="4">
        <v>37.9</v>
      </c>
      <c r="CA31" s="4">
        <v>38.793410000000002</v>
      </c>
      <c r="CC31" s="86">
        <v>29</v>
      </c>
      <c r="CD31" s="83">
        <v>41697</v>
      </c>
      <c r="CE31" s="4">
        <v>11</v>
      </c>
      <c r="CF31" s="4">
        <v>12.93482</v>
      </c>
    </row>
    <row r="32" spans="1:84" x14ac:dyDescent="0.25">
      <c r="A32" s="2">
        <v>41713</v>
      </c>
      <c r="B32" t="s">
        <v>7</v>
      </c>
      <c r="C32">
        <v>962</v>
      </c>
      <c r="D32">
        <v>42</v>
      </c>
      <c r="E32">
        <v>39</v>
      </c>
      <c r="F32">
        <v>9</v>
      </c>
      <c r="H32" s="4">
        <v>40.321280000000002</v>
      </c>
      <c r="I32" s="4">
        <v>39.044750000000001</v>
      </c>
      <c r="J32" s="4">
        <v>13.1091</v>
      </c>
      <c r="L32" t="str">
        <f t="shared" si="9"/>
        <v/>
      </c>
      <c r="M32" t="str">
        <f t="shared" si="10"/>
        <v/>
      </c>
      <c r="N32" t="str">
        <f t="shared" si="11"/>
        <v/>
      </c>
      <c r="P32" t="str">
        <f t="shared" si="12"/>
        <v/>
      </c>
      <c r="Q32" t="str">
        <f t="shared" si="13"/>
        <v/>
      </c>
      <c r="R32" t="str">
        <f t="shared" si="14"/>
        <v/>
      </c>
      <c r="T32">
        <f t="shared" si="15"/>
        <v>-1.6787199999999984</v>
      </c>
      <c r="U32">
        <f t="shared" si="16"/>
        <v>4.4750000000000512E-2</v>
      </c>
      <c r="V32">
        <f t="shared" si="17"/>
        <v>4.1090999999999998</v>
      </c>
      <c r="X32" t="str">
        <f t="shared" si="18"/>
        <v/>
      </c>
      <c r="Y32" t="str">
        <f t="shared" si="19"/>
        <v/>
      </c>
      <c r="Z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F32" t="str">
        <f t="shared" si="24"/>
        <v/>
      </c>
      <c r="AG32" t="str">
        <f t="shared" si="25"/>
        <v/>
      </c>
      <c r="AH32" t="str">
        <f t="shared" si="26"/>
        <v/>
      </c>
      <c r="AJ32" t="str">
        <f t="shared" si="27"/>
        <v/>
      </c>
      <c r="AK32" t="str">
        <f t="shared" si="28"/>
        <v/>
      </c>
      <c r="AL32" t="str">
        <f t="shared" si="29"/>
        <v/>
      </c>
      <c r="AT32" s="1">
        <f t="shared" si="30"/>
        <v>41713</v>
      </c>
      <c r="AU32">
        <f t="shared" si="8"/>
        <v>531.67777770005</v>
      </c>
      <c r="AV32" s="6">
        <f t="shared" si="31"/>
        <v>48.971475069999997</v>
      </c>
      <c r="AW32" s="6">
        <f t="shared" si="32"/>
        <v>51.028524930000003</v>
      </c>
      <c r="AX32">
        <f t="shared" si="3"/>
        <v>40.595790000000001</v>
      </c>
      <c r="AY32">
        <f t="shared" si="4"/>
        <v>37.955582999999997</v>
      </c>
      <c r="AZ32">
        <f t="shared" si="5"/>
        <v>11.135807</v>
      </c>
      <c r="BA32">
        <f t="shared" si="33"/>
        <v>10.312820000000002</v>
      </c>
      <c r="BD32" s="4">
        <v>40.037379999999999</v>
      </c>
      <c r="BE32" s="4">
        <v>38.922870000000003</v>
      </c>
      <c r="BF32" s="4">
        <v>12.9716</v>
      </c>
      <c r="BG32">
        <f t="shared" si="34"/>
        <v>8.0681500000000028</v>
      </c>
      <c r="BS32" s="86">
        <v>30</v>
      </c>
      <c r="BT32" s="83">
        <v>41713</v>
      </c>
      <c r="BU32" s="4">
        <v>41.267940000000003</v>
      </c>
      <c r="BV32" s="4">
        <v>40.037379999999999</v>
      </c>
      <c r="BX32" s="86">
        <v>30</v>
      </c>
      <c r="BY32" s="83">
        <v>41713</v>
      </c>
      <c r="BZ32" s="4">
        <v>38.059289999999997</v>
      </c>
      <c r="CA32" s="4">
        <v>38.922870000000003</v>
      </c>
      <c r="CC32" s="86">
        <v>30</v>
      </c>
      <c r="CD32" s="83">
        <v>41713</v>
      </c>
      <c r="CE32" s="4">
        <v>11.5662</v>
      </c>
      <c r="CF32" s="4">
        <v>12.9716</v>
      </c>
    </row>
    <row r="33" spans="1:84" x14ac:dyDescent="0.25">
      <c r="A33" s="2">
        <v>41744</v>
      </c>
      <c r="B33" t="s">
        <v>7</v>
      </c>
      <c r="C33">
        <v>1226</v>
      </c>
      <c r="D33">
        <v>42</v>
      </c>
      <c r="E33">
        <v>39</v>
      </c>
      <c r="F33">
        <v>11</v>
      </c>
      <c r="H33" s="4">
        <v>39.542200000000001</v>
      </c>
      <c r="I33" s="4">
        <v>39.243639999999999</v>
      </c>
      <c r="J33" s="4">
        <v>13.249829999999999</v>
      </c>
      <c r="L33" t="str">
        <f t="shared" si="9"/>
        <v/>
      </c>
      <c r="M33" t="str">
        <f t="shared" si="10"/>
        <v/>
      </c>
      <c r="N33" t="str">
        <f t="shared" si="11"/>
        <v/>
      </c>
      <c r="P33" t="str">
        <f t="shared" si="12"/>
        <v/>
      </c>
      <c r="Q33" t="str">
        <f t="shared" si="13"/>
        <v/>
      </c>
      <c r="R33" t="str">
        <f t="shared" si="14"/>
        <v/>
      </c>
      <c r="T33">
        <f t="shared" si="15"/>
        <v>-2.4577999999999989</v>
      </c>
      <c r="U33">
        <f t="shared" si="16"/>
        <v>0.24363999999999919</v>
      </c>
      <c r="V33">
        <f t="shared" si="17"/>
        <v>2.2498299999999993</v>
      </c>
      <c r="X33" t="str">
        <f t="shared" si="18"/>
        <v/>
      </c>
      <c r="Y33" t="str">
        <f t="shared" si="19"/>
        <v/>
      </c>
      <c r="Z33" t="str">
        <f t="shared" si="20"/>
        <v/>
      </c>
      <c r="AB33" t="str">
        <f t="shared" si="21"/>
        <v/>
      </c>
      <c r="AC33" t="str">
        <f t="shared" si="22"/>
        <v/>
      </c>
      <c r="AD33" t="str">
        <f t="shared" si="23"/>
        <v/>
      </c>
      <c r="AF33" t="str">
        <f t="shared" si="24"/>
        <v/>
      </c>
      <c r="AG33" t="str">
        <f t="shared" si="25"/>
        <v/>
      </c>
      <c r="AH33" t="str">
        <f t="shared" si="26"/>
        <v/>
      </c>
      <c r="AJ33" t="str">
        <f t="shared" si="27"/>
        <v/>
      </c>
      <c r="AK33" t="str">
        <f t="shared" si="28"/>
        <v/>
      </c>
      <c r="AL33" t="str">
        <f t="shared" si="29"/>
        <v/>
      </c>
      <c r="AT33" s="1">
        <f t="shared" si="30"/>
        <v>41744</v>
      </c>
      <c r="AU33">
        <f t="shared" si="8"/>
        <v>677.58519278613437</v>
      </c>
      <c r="AV33" s="6">
        <f t="shared" si="31"/>
        <v>48.137475070000001</v>
      </c>
      <c r="AW33" s="6">
        <f t="shared" si="32"/>
        <v>51.862524929999999</v>
      </c>
      <c r="AX33">
        <f t="shared" si="3"/>
        <v>40.595790000000001</v>
      </c>
      <c r="AY33">
        <f t="shared" si="4"/>
        <v>37.955582999999997</v>
      </c>
      <c r="AZ33">
        <f t="shared" si="5"/>
        <v>13.135807</v>
      </c>
      <c r="BA33">
        <f t="shared" si="33"/>
        <v>8.3128200000000021</v>
      </c>
      <c r="BD33" s="4">
        <v>39.569429999999997</v>
      </c>
      <c r="BE33" s="4">
        <v>39.173679999999997</v>
      </c>
      <c r="BF33" s="4">
        <v>13.04285</v>
      </c>
      <c r="BG33">
        <f t="shared" si="34"/>
        <v>8.2140399999999971</v>
      </c>
      <c r="BS33" s="86">
        <v>31</v>
      </c>
      <c r="BT33" s="83">
        <v>41744</v>
      </c>
      <c r="BU33" s="4">
        <v>41.267940000000003</v>
      </c>
      <c r="BV33" s="4">
        <v>39.569429999999997</v>
      </c>
      <c r="BX33" s="86">
        <v>31</v>
      </c>
      <c r="BY33" s="83">
        <v>41744</v>
      </c>
      <c r="BZ33" s="4">
        <v>38.059289999999997</v>
      </c>
      <c r="CA33" s="4">
        <v>39.173679999999997</v>
      </c>
      <c r="CC33" s="86">
        <v>31</v>
      </c>
      <c r="CD33" s="83">
        <v>41744</v>
      </c>
      <c r="CE33" s="4">
        <v>13.5662</v>
      </c>
      <c r="CF33" s="4">
        <v>13.04285</v>
      </c>
    </row>
    <row r="34" spans="1:84" x14ac:dyDescent="0.25">
      <c r="A34" s="2">
        <v>41774</v>
      </c>
      <c r="B34" t="s">
        <v>7</v>
      </c>
      <c r="C34">
        <v>1005</v>
      </c>
      <c r="D34">
        <v>38</v>
      </c>
      <c r="E34">
        <v>40</v>
      </c>
      <c r="F34">
        <v>10</v>
      </c>
      <c r="H34" s="4">
        <v>38.877540000000003</v>
      </c>
      <c r="I34" s="4">
        <v>39.315100000000001</v>
      </c>
      <c r="J34" s="4">
        <v>13.41118</v>
      </c>
      <c r="L34" t="str">
        <f t="shared" si="9"/>
        <v/>
      </c>
      <c r="M34" t="str">
        <f t="shared" si="10"/>
        <v/>
      </c>
      <c r="N34" t="str">
        <f t="shared" si="11"/>
        <v/>
      </c>
      <c r="P34" t="str">
        <f t="shared" si="12"/>
        <v/>
      </c>
      <c r="Q34" t="str">
        <f t="shared" si="13"/>
        <v/>
      </c>
      <c r="R34" t="str">
        <f t="shared" si="14"/>
        <v/>
      </c>
      <c r="T34">
        <f t="shared" si="15"/>
        <v>0.87754000000000332</v>
      </c>
      <c r="U34">
        <f t="shared" si="16"/>
        <v>-0.68489999999999895</v>
      </c>
      <c r="V34">
        <f t="shared" si="17"/>
        <v>3.4111799999999999</v>
      </c>
      <c r="X34" t="str">
        <f t="shared" si="18"/>
        <v/>
      </c>
      <c r="Y34" t="str">
        <f t="shared" si="19"/>
        <v/>
      </c>
      <c r="Z34" t="str">
        <f t="shared" si="20"/>
        <v/>
      </c>
      <c r="AB34" t="str">
        <f t="shared" si="21"/>
        <v/>
      </c>
      <c r="AC34" t="str">
        <f t="shared" si="22"/>
        <v/>
      </c>
      <c r="AD34" t="str">
        <f t="shared" si="23"/>
        <v/>
      </c>
      <c r="AF34" t="str">
        <f t="shared" si="24"/>
        <v/>
      </c>
      <c r="AG34" t="str">
        <f t="shared" si="25"/>
        <v/>
      </c>
      <c r="AH34" t="str">
        <f t="shared" si="26"/>
        <v/>
      </c>
      <c r="AJ34" t="str">
        <f t="shared" si="27"/>
        <v/>
      </c>
      <c r="AK34" t="str">
        <f t="shared" si="28"/>
        <v/>
      </c>
      <c r="AL34" t="str">
        <f t="shared" si="29"/>
        <v/>
      </c>
      <c r="AT34" s="1">
        <f t="shared" si="30"/>
        <v>41774</v>
      </c>
      <c r="AU34">
        <f t="shared" si="8"/>
        <v>555.44300061179854</v>
      </c>
      <c r="AV34" s="6">
        <f t="shared" si="31"/>
        <v>46.37547507</v>
      </c>
      <c r="AW34" s="6">
        <f t="shared" si="32"/>
        <v>53.62452493</v>
      </c>
      <c r="AX34">
        <f t="shared" si="3"/>
        <v>36.595790000000001</v>
      </c>
      <c r="AY34">
        <f t="shared" si="4"/>
        <v>38.955582999999997</v>
      </c>
      <c r="AZ34">
        <f t="shared" si="5"/>
        <v>12.135807</v>
      </c>
      <c r="BA34">
        <f t="shared" si="33"/>
        <v>12.312820000000002</v>
      </c>
      <c r="BD34" s="4">
        <v>38.899610000000003</v>
      </c>
      <c r="BE34" s="4">
        <v>39.332500000000003</v>
      </c>
      <c r="BF34" s="4">
        <v>13.111800000000001</v>
      </c>
      <c r="BG34">
        <f t="shared" si="34"/>
        <v>8.6560899999999918</v>
      </c>
      <c r="BS34" s="86">
        <v>32</v>
      </c>
      <c r="BT34" s="83">
        <v>41774</v>
      </c>
      <c r="BU34" s="4">
        <v>37.267940000000003</v>
      </c>
      <c r="BV34" s="4">
        <v>38.899610000000003</v>
      </c>
      <c r="BX34" s="86">
        <v>32</v>
      </c>
      <c r="BY34" s="83">
        <v>41774</v>
      </c>
      <c r="BZ34" s="4">
        <v>39.059289999999997</v>
      </c>
      <c r="CA34" s="4">
        <v>39.332500000000003</v>
      </c>
      <c r="CC34" s="86">
        <v>32</v>
      </c>
      <c r="CD34" s="83">
        <v>41774</v>
      </c>
      <c r="CE34" s="4">
        <v>12.5662</v>
      </c>
      <c r="CF34" s="4">
        <v>13.111800000000001</v>
      </c>
    </row>
    <row r="35" spans="1:84" x14ac:dyDescent="0.25">
      <c r="A35" s="3">
        <v>41791</v>
      </c>
      <c r="B35" t="s">
        <v>5</v>
      </c>
      <c r="C35">
        <v>1151</v>
      </c>
      <c r="D35">
        <v>37</v>
      </c>
      <c r="E35">
        <v>38</v>
      </c>
      <c r="F35">
        <v>16</v>
      </c>
      <c r="H35" s="4">
        <v>38.500900000000001</v>
      </c>
      <c r="I35" s="4">
        <v>39.355600000000003</v>
      </c>
      <c r="J35" s="4">
        <v>13.502599999999999</v>
      </c>
      <c r="L35">
        <f t="shared" si="9"/>
        <v>1.5009000000000015</v>
      </c>
      <c r="M35">
        <f t="shared" si="10"/>
        <v>1.3556000000000026</v>
      </c>
      <c r="N35">
        <f t="shared" si="11"/>
        <v>-2.4974000000000007</v>
      </c>
      <c r="P35" t="str">
        <f t="shared" si="12"/>
        <v/>
      </c>
      <c r="Q35" t="str">
        <f t="shared" si="13"/>
        <v/>
      </c>
      <c r="R35" t="str">
        <f t="shared" si="14"/>
        <v/>
      </c>
      <c r="T35" t="str">
        <f t="shared" si="15"/>
        <v/>
      </c>
      <c r="U35" t="str">
        <f t="shared" si="16"/>
        <v/>
      </c>
      <c r="V35" t="str">
        <f t="shared" si="17"/>
        <v/>
      </c>
      <c r="X35" t="str">
        <f t="shared" si="18"/>
        <v/>
      </c>
      <c r="Y35" t="str">
        <f t="shared" si="19"/>
        <v/>
      </c>
      <c r="Z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F35" t="str">
        <f t="shared" si="24"/>
        <v/>
      </c>
      <c r="AG35" t="str">
        <f t="shared" si="25"/>
        <v/>
      </c>
      <c r="AH35" t="str">
        <f t="shared" si="26"/>
        <v/>
      </c>
      <c r="AJ35" t="str">
        <f t="shared" si="27"/>
        <v/>
      </c>
      <c r="AK35" t="str">
        <f t="shared" si="28"/>
        <v/>
      </c>
      <c r="AL35" t="str">
        <f t="shared" si="29"/>
        <v/>
      </c>
      <c r="AT35" s="1">
        <f t="shared" si="30"/>
        <v>41791</v>
      </c>
      <c r="AU35">
        <f t="shared" si="8"/>
        <v>1151</v>
      </c>
      <c r="AV35" s="6">
        <f t="shared" si="31"/>
        <v>45.548800000000007</v>
      </c>
      <c r="AW35" s="6">
        <f t="shared" si="32"/>
        <v>54.4512</v>
      </c>
      <c r="AX35">
        <f t="shared" ref="AX35:AX50" si="36">D35+INDEX(AO$3:AO$9,MATCH($B35,$AN$3:$AN$9,0))</f>
        <v>37.6</v>
      </c>
      <c r="AY35">
        <f t="shared" ref="AY35:AY50" si="37">E35+INDEX(AP$3:AP$9,MATCH($B35,$AN$3:$AN$9,0))</f>
        <v>39</v>
      </c>
      <c r="AZ35">
        <f t="shared" ref="AZ35:AZ50" si="38">F35+INDEX(AQ$3:AQ$9,MATCH($B35,$AN$3:$AN$9,0))</f>
        <v>15</v>
      </c>
      <c r="BA35">
        <f t="shared" si="33"/>
        <v>8.4000000000000057</v>
      </c>
      <c r="BD35" s="4">
        <v>38.520040000000002</v>
      </c>
      <c r="BE35" s="4">
        <v>39.422490000000003</v>
      </c>
      <c r="BF35" s="4">
        <v>13.150880000000001</v>
      </c>
      <c r="BG35">
        <f t="shared" si="34"/>
        <v>8.9065899999999942</v>
      </c>
      <c r="BS35" s="86">
        <v>33</v>
      </c>
      <c r="BT35" s="83">
        <v>41791</v>
      </c>
      <c r="BU35" s="4">
        <v>37.6</v>
      </c>
      <c r="BV35" s="4">
        <v>38.520040000000002</v>
      </c>
      <c r="BX35" s="86">
        <v>33</v>
      </c>
      <c r="BY35" s="83">
        <v>41791</v>
      </c>
      <c r="BZ35" s="4">
        <v>39</v>
      </c>
      <c r="CA35" s="4">
        <v>39.422490000000003</v>
      </c>
      <c r="CC35" s="86">
        <v>33</v>
      </c>
      <c r="CD35" s="83">
        <v>41791</v>
      </c>
      <c r="CE35" s="4">
        <v>15</v>
      </c>
      <c r="CF35" s="4">
        <v>13.150880000000001</v>
      </c>
    </row>
    <row r="36" spans="1:84" x14ac:dyDescent="0.25">
      <c r="A36" s="3">
        <v>41805</v>
      </c>
      <c r="B36" t="s">
        <v>7</v>
      </c>
      <c r="C36">
        <v>1184</v>
      </c>
      <c r="D36">
        <v>41</v>
      </c>
      <c r="E36">
        <v>40</v>
      </c>
      <c r="F36">
        <v>10</v>
      </c>
      <c r="H36" s="4">
        <v>37.961370000000002</v>
      </c>
      <c r="I36" s="4">
        <v>39.388939999999998</v>
      </c>
      <c r="J36" s="4">
        <v>13.5779</v>
      </c>
      <c r="L36" t="str">
        <f t="shared" si="9"/>
        <v/>
      </c>
      <c r="M36" t="str">
        <f t="shared" si="10"/>
        <v/>
      </c>
      <c r="N36" t="str">
        <f t="shared" si="11"/>
        <v/>
      </c>
      <c r="P36" t="str">
        <f t="shared" si="12"/>
        <v/>
      </c>
      <c r="Q36" t="str">
        <f t="shared" si="13"/>
        <v/>
      </c>
      <c r="R36" t="str">
        <f t="shared" si="14"/>
        <v/>
      </c>
      <c r="T36">
        <f t="shared" si="15"/>
        <v>-3.0386299999999977</v>
      </c>
      <c r="U36">
        <f t="shared" si="16"/>
        <v>-0.61106000000000193</v>
      </c>
      <c r="V36">
        <f t="shared" si="17"/>
        <v>3.5778999999999996</v>
      </c>
      <c r="X36" t="str">
        <f t="shared" si="18"/>
        <v/>
      </c>
      <c r="Y36" t="str">
        <f t="shared" si="19"/>
        <v/>
      </c>
      <c r="Z36" t="str">
        <f t="shared" si="20"/>
        <v/>
      </c>
      <c r="AB36" t="str">
        <f t="shared" si="21"/>
        <v/>
      </c>
      <c r="AC36" t="str">
        <f t="shared" si="22"/>
        <v/>
      </c>
      <c r="AD36" t="str">
        <f t="shared" si="23"/>
        <v/>
      </c>
      <c r="AF36" t="str">
        <f t="shared" si="24"/>
        <v/>
      </c>
      <c r="AG36" t="str">
        <f t="shared" si="25"/>
        <v/>
      </c>
      <c r="AH36" t="str">
        <f t="shared" si="26"/>
        <v/>
      </c>
      <c r="AJ36" t="str">
        <f t="shared" si="27"/>
        <v/>
      </c>
      <c r="AK36" t="str">
        <f t="shared" si="28"/>
        <v/>
      </c>
      <c r="AL36" t="str">
        <f t="shared" si="29"/>
        <v/>
      </c>
      <c r="AT36" s="1">
        <f t="shared" si="30"/>
        <v>41805</v>
      </c>
      <c r="AU36">
        <f t="shared" si="8"/>
        <v>654.37264947698463</v>
      </c>
      <c r="AV36" s="6">
        <f t="shared" si="31"/>
        <v>47.554475069999995</v>
      </c>
      <c r="AW36" s="6">
        <f t="shared" si="32"/>
        <v>52.445524930000005</v>
      </c>
      <c r="AX36">
        <f t="shared" si="36"/>
        <v>39.595790000000001</v>
      </c>
      <c r="AY36">
        <f t="shared" si="37"/>
        <v>38.955582999999997</v>
      </c>
      <c r="AZ36">
        <f t="shared" si="38"/>
        <v>12.135807</v>
      </c>
      <c r="BA36">
        <f t="shared" si="33"/>
        <v>9.3128200000000021</v>
      </c>
      <c r="BD36" s="4">
        <v>38.159950000000002</v>
      </c>
      <c r="BE36" s="4">
        <v>39.496609999999997</v>
      </c>
      <c r="BF36" s="4">
        <v>13.18305</v>
      </c>
      <c r="BG36">
        <f t="shared" si="34"/>
        <v>9.1603900000000067</v>
      </c>
      <c r="BS36" s="86">
        <v>34</v>
      </c>
      <c r="BT36" s="83">
        <v>41805</v>
      </c>
      <c r="BU36" s="4">
        <v>40.267940000000003</v>
      </c>
      <c r="BV36" s="4">
        <v>38.159950000000002</v>
      </c>
      <c r="BX36" s="86">
        <v>34</v>
      </c>
      <c r="BY36" s="83">
        <v>41805</v>
      </c>
      <c r="BZ36" s="4">
        <v>39.059289999999997</v>
      </c>
      <c r="CA36" s="4">
        <v>39.496609999999997</v>
      </c>
      <c r="CC36" s="86">
        <v>34</v>
      </c>
      <c r="CD36" s="83">
        <v>41805</v>
      </c>
      <c r="CE36" s="4">
        <v>12.5662</v>
      </c>
      <c r="CF36" s="4">
        <v>13.18305</v>
      </c>
    </row>
    <row r="37" spans="1:84" x14ac:dyDescent="0.25">
      <c r="A37" s="3">
        <v>41811</v>
      </c>
      <c r="B37" t="s">
        <v>8</v>
      </c>
      <c r="C37">
        <v>1000</v>
      </c>
      <c r="D37">
        <v>37</v>
      </c>
      <c r="E37">
        <v>42</v>
      </c>
      <c r="F37">
        <v>14</v>
      </c>
      <c r="H37" s="4">
        <v>37.861539999999998</v>
      </c>
      <c r="I37" s="4">
        <v>39.33896</v>
      </c>
      <c r="J37" s="4">
        <v>13.61017</v>
      </c>
      <c r="L37" t="str">
        <f t="shared" si="9"/>
        <v/>
      </c>
      <c r="M37" t="str">
        <f t="shared" si="10"/>
        <v/>
      </c>
      <c r="N37" t="str">
        <f t="shared" si="11"/>
        <v/>
      </c>
      <c r="P37" t="str">
        <f t="shared" si="12"/>
        <v/>
      </c>
      <c r="Q37" t="str">
        <f t="shared" si="13"/>
        <v/>
      </c>
      <c r="R37" t="str">
        <f t="shared" si="14"/>
        <v/>
      </c>
      <c r="T37" t="str">
        <f t="shared" si="15"/>
        <v/>
      </c>
      <c r="U37" t="str">
        <f t="shared" si="16"/>
        <v/>
      </c>
      <c r="V37" t="str">
        <f t="shared" si="17"/>
        <v/>
      </c>
      <c r="X37">
        <f t="shared" si="18"/>
        <v>0.86153999999999797</v>
      </c>
      <c r="Y37">
        <f t="shared" si="19"/>
        <v>-2.6610399999999998</v>
      </c>
      <c r="Z37">
        <f t="shared" si="20"/>
        <v>-0.3898299999999999</v>
      </c>
      <c r="AB37" t="str">
        <f t="shared" si="21"/>
        <v/>
      </c>
      <c r="AC37" t="str">
        <f t="shared" si="22"/>
        <v/>
      </c>
      <c r="AD37" t="str">
        <f t="shared" si="23"/>
        <v/>
      </c>
      <c r="AF37" t="str">
        <f t="shared" si="24"/>
        <v/>
      </c>
      <c r="AG37" t="str">
        <f t="shared" si="25"/>
        <v/>
      </c>
      <c r="AH37" t="str">
        <f t="shared" si="26"/>
        <v/>
      </c>
      <c r="AJ37" t="str">
        <f t="shared" si="27"/>
        <v/>
      </c>
      <c r="AK37" t="str">
        <f t="shared" si="28"/>
        <v/>
      </c>
      <c r="AL37" t="str">
        <f t="shared" si="29"/>
        <v/>
      </c>
      <c r="AT37" s="1">
        <f t="shared" si="30"/>
        <v>41811</v>
      </c>
      <c r="AU37">
        <f t="shared" si="8"/>
        <v>1027.5229357798166</v>
      </c>
      <c r="AV37" s="6">
        <f t="shared" si="31"/>
        <v>44.693199999999997</v>
      </c>
      <c r="AW37" s="6">
        <f t="shared" si="32"/>
        <v>55.306799999999996</v>
      </c>
      <c r="AX37">
        <f t="shared" si="36"/>
        <v>37.799999999999997</v>
      </c>
      <c r="AY37">
        <f t="shared" si="37"/>
        <v>42.6</v>
      </c>
      <c r="AZ37">
        <f t="shared" si="38"/>
        <v>12</v>
      </c>
      <c r="BA37">
        <f t="shared" si="33"/>
        <v>7.5999999999999943</v>
      </c>
      <c r="BD37" s="4">
        <v>38.068010000000001</v>
      </c>
      <c r="BE37" s="4">
        <v>39.44699</v>
      </c>
      <c r="BF37" s="4">
        <v>13.19768</v>
      </c>
      <c r="BG37">
        <f t="shared" si="34"/>
        <v>9.287319999999994</v>
      </c>
      <c r="BS37" s="86">
        <v>35</v>
      </c>
      <c r="BT37" s="83">
        <v>41811</v>
      </c>
      <c r="BU37" s="4">
        <v>37.799999999999997</v>
      </c>
      <c r="BV37" s="4">
        <v>38.068010000000001</v>
      </c>
      <c r="BX37" s="86">
        <v>35</v>
      </c>
      <c r="BY37" s="83">
        <v>41811</v>
      </c>
      <c r="BZ37" s="4">
        <v>42.6</v>
      </c>
      <c r="CA37" s="4">
        <v>39.44699</v>
      </c>
      <c r="CC37" s="86">
        <v>35</v>
      </c>
      <c r="CD37" s="83">
        <v>41811</v>
      </c>
      <c r="CE37" s="4">
        <v>12</v>
      </c>
      <c r="CF37" s="4">
        <v>13.19768</v>
      </c>
    </row>
    <row r="38" spans="1:84" x14ac:dyDescent="0.25">
      <c r="A38" s="3">
        <v>41835</v>
      </c>
      <c r="B38" t="s">
        <v>7</v>
      </c>
      <c r="C38">
        <v>940</v>
      </c>
      <c r="D38">
        <v>39</v>
      </c>
      <c r="E38">
        <v>41</v>
      </c>
      <c r="F38">
        <v>10</v>
      </c>
      <c r="H38" s="4">
        <v>37.462209999999999</v>
      </c>
      <c r="I38" s="4">
        <v>39.139029999999998</v>
      </c>
      <c r="J38" s="4">
        <v>13.73925</v>
      </c>
      <c r="L38" t="str">
        <f t="shared" si="9"/>
        <v/>
      </c>
      <c r="M38" t="str">
        <f t="shared" si="10"/>
        <v/>
      </c>
      <c r="N38" t="str">
        <f t="shared" si="11"/>
        <v/>
      </c>
      <c r="P38" t="str">
        <f t="shared" si="12"/>
        <v/>
      </c>
      <c r="Q38" t="str">
        <f t="shared" si="13"/>
        <v/>
      </c>
      <c r="R38" t="str">
        <f t="shared" si="14"/>
        <v/>
      </c>
      <c r="T38">
        <f t="shared" si="15"/>
        <v>-1.5377900000000011</v>
      </c>
      <c r="U38">
        <f t="shared" si="16"/>
        <v>-1.8609700000000018</v>
      </c>
      <c r="V38">
        <f t="shared" si="17"/>
        <v>3.7392500000000002</v>
      </c>
      <c r="X38" t="str">
        <f t="shared" si="18"/>
        <v/>
      </c>
      <c r="Y38" t="str">
        <f t="shared" si="19"/>
        <v/>
      </c>
      <c r="Z38" t="str">
        <f t="shared" si="20"/>
        <v/>
      </c>
      <c r="AB38" t="str">
        <f t="shared" si="21"/>
        <v/>
      </c>
      <c r="AC38" t="str">
        <f t="shared" si="22"/>
        <v/>
      </c>
      <c r="AD38" t="str">
        <f t="shared" si="23"/>
        <v/>
      </c>
      <c r="AF38" t="str">
        <f t="shared" si="24"/>
        <v/>
      </c>
      <c r="AG38" t="str">
        <f t="shared" si="25"/>
        <v/>
      </c>
      <c r="AH38" t="str">
        <f t="shared" si="26"/>
        <v/>
      </c>
      <c r="AJ38" t="str">
        <f t="shared" si="27"/>
        <v/>
      </c>
      <c r="AK38" t="str">
        <f t="shared" si="28"/>
        <v/>
      </c>
      <c r="AL38" t="str">
        <f t="shared" si="29"/>
        <v/>
      </c>
      <c r="AT38" s="1">
        <f t="shared" si="30"/>
        <v>41835</v>
      </c>
      <c r="AU38">
        <f t="shared" si="8"/>
        <v>519.51882644287627</v>
      </c>
      <c r="AV38" s="6">
        <f t="shared" si="31"/>
        <v>46.161475069999995</v>
      </c>
      <c r="AW38" s="6">
        <f t="shared" si="32"/>
        <v>53.838524930000005</v>
      </c>
      <c r="AX38">
        <f t="shared" si="36"/>
        <v>37.595790000000001</v>
      </c>
      <c r="AY38">
        <f t="shared" si="37"/>
        <v>39.955582999999997</v>
      </c>
      <c r="AZ38">
        <f t="shared" si="38"/>
        <v>12.135807</v>
      </c>
      <c r="BA38">
        <f t="shared" si="33"/>
        <v>10.312820000000002</v>
      </c>
      <c r="BD38" s="4">
        <v>37.700229999999998</v>
      </c>
      <c r="BE38" s="4">
        <v>39.248519999999999</v>
      </c>
      <c r="BF38" s="4">
        <v>13.256209999999999</v>
      </c>
      <c r="BG38">
        <f t="shared" si="34"/>
        <v>9.7950400000000144</v>
      </c>
      <c r="BS38" s="86">
        <v>36</v>
      </c>
      <c r="BT38" s="83">
        <v>41835</v>
      </c>
      <c r="BU38" s="4">
        <v>38.267940000000003</v>
      </c>
      <c r="BV38" s="4">
        <v>37.700229999999998</v>
      </c>
      <c r="BX38" s="86">
        <v>36</v>
      </c>
      <c r="BY38" s="83">
        <v>41835</v>
      </c>
      <c r="BZ38" s="4">
        <v>40.059289999999997</v>
      </c>
      <c r="CA38" s="4">
        <v>39.248519999999999</v>
      </c>
      <c r="CC38" s="86">
        <v>36</v>
      </c>
      <c r="CD38" s="83">
        <v>41835</v>
      </c>
      <c r="CE38" s="4">
        <v>12.5662</v>
      </c>
      <c r="CF38" s="4">
        <v>13.256209999999999</v>
      </c>
    </row>
    <row r="39" spans="1:84" x14ac:dyDescent="0.25">
      <c r="A39" s="3">
        <v>41852</v>
      </c>
      <c r="B39" t="s">
        <v>5</v>
      </c>
      <c r="C39">
        <v>1170</v>
      </c>
      <c r="D39">
        <v>35</v>
      </c>
      <c r="E39">
        <v>37</v>
      </c>
      <c r="F39">
        <v>16</v>
      </c>
      <c r="H39" s="4">
        <v>37.377249999999997</v>
      </c>
      <c r="I39" s="4">
        <v>38.886020000000002</v>
      </c>
      <c r="J39" s="4">
        <v>13.84037</v>
      </c>
      <c r="L39">
        <f t="shared" si="9"/>
        <v>2.3772499999999965</v>
      </c>
      <c r="M39">
        <f t="shared" si="10"/>
        <v>1.886020000000002</v>
      </c>
      <c r="N39">
        <f t="shared" si="11"/>
        <v>-2.1596299999999999</v>
      </c>
      <c r="P39" t="str">
        <f t="shared" si="12"/>
        <v/>
      </c>
      <c r="Q39" t="str">
        <f t="shared" si="13"/>
        <v/>
      </c>
      <c r="R39" t="str">
        <f t="shared" si="14"/>
        <v/>
      </c>
      <c r="T39" t="str">
        <f t="shared" si="15"/>
        <v/>
      </c>
      <c r="U39" t="str">
        <f t="shared" si="16"/>
        <v/>
      </c>
      <c r="V39" t="str">
        <f t="shared" si="17"/>
        <v/>
      </c>
      <c r="X39" t="str">
        <f t="shared" si="18"/>
        <v/>
      </c>
      <c r="Y39" t="str">
        <f t="shared" si="19"/>
        <v/>
      </c>
      <c r="Z39" t="str">
        <f t="shared" si="20"/>
        <v/>
      </c>
      <c r="AB39" t="str">
        <f t="shared" si="21"/>
        <v/>
      </c>
      <c r="AC39" t="str">
        <f t="shared" si="22"/>
        <v/>
      </c>
      <c r="AD39" t="str">
        <f t="shared" si="23"/>
        <v/>
      </c>
      <c r="AF39" t="str">
        <f t="shared" si="24"/>
        <v/>
      </c>
      <c r="AG39" t="str">
        <f t="shared" si="25"/>
        <v/>
      </c>
      <c r="AH39" t="str">
        <f t="shared" si="26"/>
        <v/>
      </c>
      <c r="AJ39" t="str">
        <f t="shared" si="27"/>
        <v/>
      </c>
      <c r="AK39" t="str">
        <f t="shared" si="28"/>
        <v/>
      </c>
      <c r="AL39" t="str">
        <f t="shared" si="29"/>
        <v/>
      </c>
      <c r="AT39" s="1">
        <f t="shared" si="30"/>
        <v>41852</v>
      </c>
      <c r="AU39">
        <f t="shared" si="8"/>
        <v>1170</v>
      </c>
      <c r="AV39" s="6">
        <f t="shared" si="31"/>
        <v>45.369800000000005</v>
      </c>
      <c r="AW39" s="6">
        <f t="shared" si="32"/>
        <v>54.630200000000002</v>
      </c>
      <c r="AX39">
        <f t="shared" si="36"/>
        <v>35.6</v>
      </c>
      <c r="AY39">
        <f t="shared" si="37"/>
        <v>38</v>
      </c>
      <c r="AZ39">
        <f t="shared" si="38"/>
        <v>15</v>
      </c>
      <c r="BA39">
        <f t="shared" si="33"/>
        <v>11.400000000000006</v>
      </c>
      <c r="BD39" s="4">
        <v>37.647840000000002</v>
      </c>
      <c r="BE39" s="4">
        <v>39.107939999999999</v>
      </c>
      <c r="BF39" s="4">
        <v>13.29766</v>
      </c>
      <c r="BG39">
        <f t="shared" si="34"/>
        <v>9.9465600000000052</v>
      </c>
      <c r="BS39" s="86">
        <v>37</v>
      </c>
      <c r="BT39" s="83">
        <v>41852</v>
      </c>
      <c r="BU39" s="4">
        <v>35.6</v>
      </c>
      <c r="BV39" s="4">
        <v>37.647840000000002</v>
      </c>
      <c r="BX39" s="86">
        <v>37</v>
      </c>
      <c r="BY39" s="83">
        <v>41852</v>
      </c>
      <c r="BZ39" s="4">
        <v>38</v>
      </c>
      <c r="CA39" s="4">
        <v>39.107939999999999</v>
      </c>
      <c r="CC39" s="86">
        <v>37</v>
      </c>
      <c r="CD39" s="83">
        <v>41852</v>
      </c>
      <c r="CE39" s="4">
        <v>15</v>
      </c>
      <c r="CF39" s="4">
        <v>13.29766</v>
      </c>
    </row>
    <row r="40" spans="1:84" x14ac:dyDescent="0.25">
      <c r="A40" s="3">
        <v>41865</v>
      </c>
      <c r="B40" t="s">
        <v>9</v>
      </c>
      <c r="C40">
        <v>800</v>
      </c>
      <c r="D40">
        <v>38</v>
      </c>
      <c r="E40">
        <v>40</v>
      </c>
      <c r="F40">
        <v>12</v>
      </c>
      <c r="H40" s="4">
        <v>37.312280000000001</v>
      </c>
      <c r="I40" s="4">
        <v>38.692549999999997</v>
      </c>
      <c r="J40" s="4">
        <v>13.9177</v>
      </c>
      <c r="L40" t="str">
        <f t="shared" si="9"/>
        <v/>
      </c>
      <c r="M40" t="str">
        <f t="shared" si="10"/>
        <v/>
      </c>
      <c r="N40" t="str">
        <f t="shared" si="11"/>
        <v/>
      </c>
      <c r="P40" t="str">
        <f t="shared" si="12"/>
        <v/>
      </c>
      <c r="Q40" t="str">
        <f t="shared" si="13"/>
        <v/>
      </c>
      <c r="R40" t="str">
        <f t="shared" si="14"/>
        <v/>
      </c>
      <c r="T40" t="str">
        <f t="shared" si="15"/>
        <v/>
      </c>
      <c r="U40" t="str">
        <f t="shared" si="16"/>
        <v/>
      </c>
      <c r="V40" t="str">
        <f t="shared" si="17"/>
        <v/>
      </c>
      <c r="X40" t="str">
        <f t="shared" si="18"/>
        <v/>
      </c>
      <c r="Y40" t="str">
        <f t="shared" si="19"/>
        <v/>
      </c>
      <c r="Z40" t="str">
        <f t="shared" si="20"/>
        <v/>
      </c>
      <c r="AB40">
        <f t="shared" si="21"/>
        <v>-0.68771999999999878</v>
      </c>
      <c r="AC40">
        <f t="shared" si="22"/>
        <v>-1.3074500000000029</v>
      </c>
      <c r="AD40">
        <f t="shared" si="23"/>
        <v>1.9177</v>
      </c>
      <c r="AF40" t="str">
        <f t="shared" si="24"/>
        <v/>
      </c>
      <c r="AG40" t="str">
        <f t="shared" si="25"/>
        <v/>
      </c>
      <c r="AH40" t="str">
        <f t="shared" si="26"/>
        <v/>
      </c>
      <c r="AJ40" t="str">
        <f t="shared" si="27"/>
        <v/>
      </c>
      <c r="AK40" t="str">
        <f t="shared" si="28"/>
        <v/>
      </c>
      <c r="AL40" t="str">
        <f t="shared" si="29"/>
        <v/>
      </c>
      <c r="AT40" s="1">
        <f t="shared" si="30"/>
        <v>41865</v>
      </c>
      <c r="AU40">
        <f t="shared" si="8"/>
        <v>904.58715596330285</v>
      </c>
      <c r="AV40" s="6">
        <f t="shared" si="31"/>
        <v>47.709800000000008</v>
      </c>
      <c r="AW40" s="6">
        <f t="shared" si="32"/>
        <v>52.290200000000006</v>
      </c>
      <c r="AX40">
        <f t="shared" si="36"/>
        <v>38.700000000000003</v>
      </c>
      <c r="AY40">
        <f t="shared" si="37"/>
        <v>38.9</v>
      </c>
      <c r="AZ40">
        <f t="shared" si="38"/>
        <v>11</v>
      </c>
      <c r="BA40">
        <f t="shared" si="33"/>
        <v>11.400000000000006</v>
      </c>
      <c r="BD40" s="4">
        <v>37.556820000000002</v>
      </c>
      <c r="BE40" s="4">
        <v>38.827370000000002</v>
      </c>
      <c r="BF40" s="4">
        <v>13.329359999999999</v>
      </c>
      <c r="BG40">
        <f t="shared" si="34"/>
        <v>10.286450000000002</v>
      </c>
      <c r="BS40" s="86">
        <v>38</v>
      </c>
      <c r="BT40" s="83">
        <v>41865</v>
      </c>
      <c r="BU40" s="4">
        <v>38.700000000000003</v>
      </c>
      <c r="BV40" s="4">
        <v>37.556820000000002</v>
      </c>
      <c r="BX40" s="86">
        <v>38</v>
      </c>
      <c r="BY40" s="83">
        <v>41865</v>
      </c>
      <c r="BZ40" s="4">
        <v>38.9</v>
      </c>
      <c r="CA40" s="4">
        <v>38.827370000000002</v>
      </c>
      <c r="CC40" s="86">
        <v>38</v>
      </c>
      <c r="CD40" s="83">
        <v>41865</v>
      </c>
      <c r="CE40" s="4">
        <v>11</v>
      </c>
      <c r="CF40" s="4">
        <v>13.329359999999999</v>
      </c>
    </row>
    <row r="41" spans="1:84" x14ac:dyDescent="0.25">
      <c r="A41" s="3">
        <v>41866</v>
      </c>
      <c r="B41" t="s">
        <v>7</v>
      </c>
      <c r="C41">
        <v>933</v>
      </c>
      <c r="D41">
        <v>38</v>
      </c>
      <c r="E41">
        <v>40</v>
      </c>
      <c r="F41">
        <v>12</v>
      </c>
      <c r="H41" s="4">
        <v>37.312860000000001</v>
      </c>
      <c r="I41" s="4">
        <v>38.677660000000003</v>
      </c>
      <c r="J41" s="4">
        <v>13.923640000000001</v>
      </c>
      <c r="L41" t="str">
        <f t="shared" si="9"/>
        <v/>
      </c>
      <c r="M41" t="str">
        <f t="shared" si="10"/>
        <v/>
      </c>
      <c r="N41" t="str">
        <f t="shared" si="11"/>
        <v/>
      </c>
      <c r="P41" t="str">
        <f t="shared" si="12"/>
        <v/>
      </c>
      <c r="Q41" t="str">
        <f t="shared" si="13"/>
        <v/>
      </c>
      <c r="R41" t="str">
        <f t="shared" si="14"/>
        <v/>
      </c>
      <c r="T41">
        <f t="shared" si="15"/>
        <v>-0.68713999999999942</v>
      </c>
      <c r="U41">
        <f t="shared" si="16"/>
        <v>-1.322339999999997</v>
      </c>
      <c r="V41">
        <f t="shared" si="17"/>
        <v>1.9236400000000007</v>
      </c>
      <c r="X41" t="str">
        <f t="shared" si="18"/>
        <v/>
      </c>
      <c r="Y41" t="str">
        <f t="shared" si="19"/>
        <v/>
      </c>
      <c r="Z41" t="str">
        <f t="shared" si="20"/>
        <v/>
      </c>
      <c r="AB41" t="str">
        <f t="shared" si="21"/>
        <v/>
      </c>
      <c r="AC41" t="str">
        <f t="shared" si="22"/>
        <v/>
      </c>
      <c r="AD41" t="str">
        <f t="shared" si="23"/>
        <v/>
      </c>
      <c r="AF41" t="str">
        <f t="shared" si="24"/>
        <v/>
      </c>
      <c r="AG41" t="str">
        <f t="shared" si="25"/>
        <v/>
      </c>
      <c r="AH41" t="str">
        <f t="shared" si="26"/>
        <v/>
      </c>
      <c r="AJ41" t="str">
        <f t="shared" si="27"/>
        <v/>
      </c>
      <c r="AK41" t="str">
        <f t="shared" si="28"/>
        <v/>
      </c>
      <c r="AL41" t="str">
        <f t="shared" si="29"/>
        <v/>
      </c>
      <c r="AT41" s="1">
        <f t="shared" si="30"/>
        <v>41866</v>
      </c>
      <c r="AU41">
        <f t="shared" si="8"/>
        <v>515.65006922468467</v>
      </c>
      <c r="AV41" s="6">
        <f t="shared" si="31"/>
        <v>45.541475070000004</v>
      </c>
      <c r="AW41" s="6">
        <f t="shared" si="32"/>
        <v>54.458524929999996</v>
      </c>
      <c r="AX41">
        <f t="shared" si="36"/>
        <v>36.595790000000001</v>
      </c>
      <c r="AY41">
        <f t="shared" si="37"/>
        <v>38.955582999999997</v>
      </c>
      <c r="AZ41">
        <f t="shared" si="38"/>
        <v>14.135807</v>
      </c>
      <c r="BA41">
        <f t="shared" si="33"/>
        <v>10.312820000000002</v>
      </c>
      <c r="BD41" s="4">
        <v>37.549810000000001</v>
      </c>
      <c r="BE41" s="4">
        <v>38.805790000000002</v>
      </c>
      <c r="BF41" s="4">
        <v>13.331799999999999</v>
      </c>
      <c r="BG41">
        <f t="shared" si="34"/>
        <v>10.312599999999989</v>
      </c>
      <c r="BS41" s="86">
        <v>39</v>
      </c>
      <c r="BT41" s="83">
        <v>41866</v>
      </c>
      <c r="BU41" s="4">
        <v>37.267940000000003</v>
      </c>
      <c r="BV41" s="4">
        <v>37.549810000000001</v>
      </c>
      <c r="BX41" s="86">
        <v>39</v>
      </c>
      <c r="BY41" s="83">
        <v>41866</v>
      </c>
      <c r="BZ41" s="4">
        <v>39.059289999999997</v>
      </c>
      <c r="CA41" s="4">
        <v>38.805790000000002</v>
      </c>
      <c r="CC41" s="86">
        <v>39</v>
      </c>
      <c r="CD41" s="83">
        <v>41866</v>
      </c>
      <c r="CE41" s="4">
        <v>14.5662</v>
      </c>
      <c r="CF41" s="4">
        <v>13.331799999999999</v>
      </c>
    </row>
    <row r="42" spans="1:84" x14ac:dyDescent="0.25">
      <c r="A42" s="3">
        <v>41897</v>
      </c>
      <c r="B42" t="s">
        <v>7</v>
      </c>
      <c r="C42">
        <v>1084</v>
      </c>
      <c r="D42">
        <v>39</v>
      </c>
      <c r="E42">
        <v>39</v>
      </c>
      <c r="F42">
        <v>11</v>
      </c>
      <c r="H42" s="4">
        <v>38.157089999999997</v>
      </c>
      <c r="I42" s="4">
        <v>38.20796</v>
      </c>
      <c r="J42" s="4">
        <v>14.108040000000001</v>
      </c>
      <c r="L42" t="str">
        <f t="shared" si="9"/>
        <v/>
      </c>
      <c r="M42" t="str">
        <f t="shared" si="10"/>
        <v/>
      </c>
      <c r="N42" t="str">
        <f t="shared" si="11"/>
        <v/>
      </c>
      <c r="P42" t="str">
        <f t="shared" si="12"/>
        <v/>
      </c>
      <c r="Q42" t="str">
        <f t="shared" si="13"/>
        <v/>
      </c>
      <c r="R42" t="str">
        <f t="shared" si="14"/>
        <v/>
      </c>
      <c r="T42">
        <f t="shared" si="15"/>
        <v>-0.84291000000000338</v>
      </c>
      <c r="U42">
        <f t="shared" si="16"/>
        <v>-0.79204000000000008</v>
      </c>
      <c r="V42">
        <f t="shared" si="17"/>
        <v>3.1080400000000008</v>
      </c>
      <c r="X42" t="str">
        <f t="shared" si="18"/>
        <v/>
      </c>
      <c r="Y42" t="str">
        <f t="shared" si="19"/>
        <v/>
      </c>
      <c r="Z42" t="str">
        <f t="shared" si="20"/>
        <v/>
      </c>
      <c r="AB42" t="str">
        <f t="shared" si="21"/>
        <v/>
      </c>
      <c r="AC42" t="str">
        <f t="shared" si="22"/>
        <v/>
      </c>
      <c r="AD42" t="str">
        <f t="shared" si="23"/>
        <v/>
      </c>
      <c r="AF42" t="str">
        <f t="shared" si="24"/>
        <v/>
      </c>
      <c r="AG42" t="str">
        <f t="shared" si="25"/>
        <v/>
      </c>
      <c r="AH42" t="str">
        <f t="shared" si="26"/>
        <v/>
      </c>
      <c r="AJ42" t="str">
        <f t="shared" si="27"/>
        <v/>
      </c>
      <c r="AK42" t="str">
        <f t="shared" si="28"/>
        <v/>
      </c>
      <c r="AL42" t="str">
        <f t="shared" si="29"/>
        <v/>
      </c>
      <c r="AT42" s="1">
        <f t="shared" si="30"/>
        <v>41897</v>
      </c>
      <c r="AU42">
        <f t="shared" si="8"/>
        <v>599.10468921710412</v>
      </c>
      <c r="AV42" s="6">
        <f t="shared" si="31"/>
        <v>46.958475070000006</v>
      </c>
      <c r="AW42" s="6">
        <f t="shared" si="32"/>
        <v>53.041524929999994</v>
      </c>
      <c r="AX42">
        <f t="shared" si="36"/>
        <v>37.595790000000001</v>
      </c>
      <c r="AY42">
        <f t="shared" si="37"/>
        <v>37.955582999999997</v>
      </c>
      <c r="AZ42">
        <f t="shared" si="38"/>
        <v>13.135807</v>
      </c>
      <c r="BA42">
        <f t="shared" si="33"/>
        <v>11.312820000000002</v>
      </c>
      <c r="BD42" s="4">
        <v>38.434289999999997</v>
      </c>
      <c r="BE42" s="4">
        <v>38.136740000000003</v>
      </c>
      <c r="BF42" s="4">
        <v>13.407389999999999</v>
      </c>
      <c r="BG42">
        <f t="shared" si="34"/>
        <v>10.02158</v>
      </c>
      <c r="BS42" s="86">
        <v>40</v>
      </c>
      <c r="BT42" s="83">
        <v>41897</v>
      </c>
      <c r="BU42" s="4">
        <v>38.267940000000003</v>
      </c>
      <c r="BV42" s="4">
        <v>38.434289999999997</v>
      </c>
      <c r="BX42" s="86">
        <v>40</v>
      </c>
      <c r="BY42" s="83">
        <v>41897</v>
      </c>
      <c r="BZ42" s="4">
        <v>38.059289999999997</v>
      </c>
      <c r="CA42" s="4">
        <v>38.136740000000003</v>
      </c>
      <c r="CC42" s="86">
        <v>40</v>
      </c>
      <c r="CD42" s="83">
        <v>41897</v>
      </c>
      <c r="CE42" s="4">
        <v>13.5662</v>
      </c>
      <c r="CF42" s="4">
        <v>13.407389999999999</v>
      </c>
    </row>
    <row r="43" spans="1:84" x14ac:dyDescent="0.25">
      <c r="A43" s="2">
        <v>41910</v>
      </c>
      <c r="B43" t="s">
        <v>10</v>
      </c>
      <c r="C43">
        <v>1706</v>
      </c>
      <c r="D43">
        <v>37.5</v>
      </c>
      <c r="E43">
        <v>34</v>
      </c>
      <c r="F43">
        <v>18</v>
      </c>
      <c r="H43" s="4">
        <v>38.511119999999998</v>
      </c>
      <c r="I43" s="4">
        <v>38.01099</v>
      </c>
      <c r="J43" s="4">
        <v>14.185370000000001</v>
      </c>
      <c r="L43" t="str">
        <f t="shared" si="9"/>
        <v/>
      </c>
      <c r="M43" t="str">
        <f t="shared" si="10"/>
        <v/>
      </c>
      <c r="N43" t="str">
        <f t="shared" si="11"/>
        <v/>
      </c>
      <c r="P43" t="str">
        <f t="shared" si="12"/>
        <v/>
      </c>
      <c r="Q43" t="str">
        <f t="shared" si="13"/>
        <v/>
      </c>
      <c r="R43" t="str">
        <f t="shared" si="14"/>
        <v/>
      </c>
      <c r="T43" t="str">
        <f t="shared" si="15"/>
        <v/>
      </c>
      <c r="U43" t="str">
        <f t="shared" si="16"/>
        <v/>
      </c>
      <c r="V43" t="str">
        <f t="shared" si="17"/>
        <v/>
      </c>
      <c r="X43" t="str">
        <f t="shared" si="18"/>
        <v/>
      </c>
      <c r="Y43" t="str">
        <f t="shared" si="19"/>
        <v/>
      </c>
      <c r="Z43" t="str">
        <f t="shared" si="20"/>
        <v/>
      </c>
      <c r="AB43" t="str">
        <f t="shared" si="21"/>
        <v/>
      </c>
      <c r="AC43" t="str">
        <f t="shared" si="22"/>
        <v/>
      </c>
      <c r="AD43" t="str">
        <f t="shared" si="23"/>
        <v/>
      </c>
      <c r="AF43">
        <f t="shared" si="24"/>
        <v>1.0111199999999982</v>
      </c>
      <c r="AG43">
        <f t="shared" si="25"/>
        <v>4.0109899999999996</v>
      </c>
      <c r="AH43">
        <f t="shared" si="26"/>
        <v>-3.8146299999999993</v>
      </c>
      <c r="AJ43" t="str">
        <f t="shared" si="27"/>
        <v/>
      </c>
      <c r="AK43" t="str">
        <f t="shared" si="28"/>
        <v/>
      </c>
      <c r="AL43" t="str">
        <f t="shared" si="29"/>
        <v/>
      </c>
      <c r="AT43" s="1">
        <f t="shared" si="30"/>
        <v>41910</v>
      </c>
      <c r="AU43">
        <f t="shared" si="8"/>
        <v>622.07327329977579</v>
      </c>
      <c r="AV43" s="6">
        <f t="shared" si="31"/>
        <v>47.152494066000003</v>
      </c>
      <c r="AW43" s="6">
        <f t="shared" si="32"/>
        <v>52.847505933999997</v>
      </c>
      <c r="AX43">
        <f t="shared" si="36"/>
        <v>38.346284000000004</v>
      </c>
      <c r="AY43">
        <f t="shared" si="37"/>
        <v>37.946494000000001</v>
      </c>
      <c r="AZ43">
        <f t="shared" si="38"/>
        <v>13.391064</v>
      </c>
      <c r="BA43">
        <f t="shared" si="33"/>
        <v>10.316158000000001</v>
      </c>
      <c r="BD43" s="4">
        <v>38.71434</v>
      </c>
      <c r="BE43" s="4">
        <v>38.080329999999996</v>
      </c>
      <c r="BF43" s="4">
        <v>13.439859999999999</v>
      </c>
      <c r="BG43">
        <f t="shared" si="34"/>
        <v>9.7654700000000076</v>
      </c>
      <c r="BS43" s="86">
        <v>41</v>
      </c>
      <c r="BT43" s="83">
        <v>41910</v>
      </c>
      <c r="BU43" s="4">
        <v>38.70881</v>
      </c>
      <c r="BV43" s="4">
        <v>38.71434</v>
      </c>
      <c r="BX43" s="86">
        <v>41</v>
      </c>
      <c r="BY43" s="83">
        <v>41910</v>
      </c>
      <c r="BZ43" s="4">
        <v>37.794960000000003</v>
      </c>
      <c r="CA43" s="4">
        <v>38.080329999999996</v>
      </c>
      <c r="CC43" s="86">
        <v>41</v>
      </c>
      <c r="CD43" s="83">
        <v>41910</v>
      </c>
      <c r="CE43" s="4">
        <v>14.02073</v>
      </c>
      <c r="CF43" s="4">
        <v>13.439859999999999</v>
      </c>
    </row>
    <row r="44" spans="1:84" x14ac:dyDescent="0.25">
      <c r="A44" s="3">
        <v>41927</v>
      </c>
      <c r="B44" t="s">
        <v>7</v>
      </c>
      <c r="C44">
        <v>899</v>
      </c>
      <c r="D44">
        <v>39</v>
      </c>
      <c r="E44">
        <v>38</v>
      </c>
      <c r="F44">
        <v>12</v>
      </c>
      <c r="H44" s="4">
        <v>38.740259999999999</v>
      </c>
      <c r="I44" s="4">
        <v>37.753410000000002</v>
      </c>
      <c r="J44" s="4">
        <v>14.286490000000001</v>
      </c>
      <c r="L44" t="str">
        <f t="shared" si="9"/>
        <v/>
      </c>
      <c r="M44" t="str">
        <f t="shared" si="10"/>
        <v/>
      </c>
      <c r="N44" t="str">
        <f t="shared" si="11"/>
        <v/>
      </c>
      <c r="P44" t="str">
        <f t="shared" si="12"/>
        <v/>
      </c>
      <c r="Q44" t="str">
        <f t="shared" si="13"/>
        <v/>
      </c>
      <c r="R44" t="str">
        <f t="shared" si="14"/>
        <v/>
      </c>
      <c r="T44">
        <f t="shared" si="15"/>
        <v>-0.25974000000000075</v>
      </c>
      <c r="U44">
        <f t="shared" si="16"/>
        <v>-0.24658999999999764</v>
      </c>
      <c r="V44">
        <f t="shared" si="17"/>
        <v>2.2864900000000006</v>
      </c>
      <c r="X44" t="str">
        <f t="shared" si="18"/>
        <v/>
      </c>
      <c r="Y44" t="str">
        <f t="shared" si="19"/>
        <v/>
      </c>
      <c r="Z44" t="str">
        <f t="shared" si="20"/>
        <v/>
      </c>
      <c r="AB44" t="str">
        <f t="shared" si="21"/>
        <v/>
      </c>
      <c r="AC44" t="str">
        <f t="shared" si="22"/>
        <v/>
      </c>
      <c r="AD44" t="str">
        <f t="shared" si="23"/>
        <v/>
      </c>
      <c r="AF44" t="str">
        <f t="shared" si="24"/>
        <v/>
      </c>
      <c r="AG44" t="str">
        <f t="shared" si="25"/>
        <v/>
      </c>
      <c r="AH44" t="str">
        <f t="shared" si="26"/>
        <v/>
      </c>
      <c r="AJ44" t="str">
        <f t="shared" si="27"/>
        <v/>
      </c>
      <c r="AK44" t="str">
        <f t="shared" si="28"/>
        <v/>
      </c>
      <c r="AL44" t="str">
        <f t="shared" si="29"/>
        <v/>
      </c>
      <c r="AT44" s="1">
        <f t="shared" si="30"/>
        <v>41927</v>
      </c>
      <c r="AU44">
        <f t="shared" si="8"/>
        <v>496.85896273632528</v>
      </c>
      <c r="AV44" s="6">
        <f t="shared" si="31"/>
        <v>47.148475070000003</v>
      </c>
      <c r="AW44" s="6">
        <f t="shared" si="32"/>
        <v>52.851524929999997</v>
      </c>
      <c r="AX44">
        <f t="shared" si="36"/>
        <v>37.595790000000001</v>
      </c>
      <c r="AY44">
        <f t="shared" si="37"/>
        <v>36.955582999999997</v>
      </c>
      <c r="AZ44">
        <f t="shared" si="38"/>
        <v>14.135807</v>
      </c>
      <c r="BA44">
        <f t="shared" si="33"/>
        <v>11.312820000000002</v>
      </c>
      <c r="BD44" s="4">
        <v>39.080570000000002</v>
      </c>
      <c r="BE44" s="4">
        <v>38.00656</v>
      </c>
      <c r="BF44" s="4">
        <v>13.48232</v>
      </c>
      <c r="BG44">
        <f t="shared" si="34"/>
        <v>9.4305499999999967</v>
      </c>
      <c r="BS44" s="86">
        <v>42</v>
      </c>
      <c r="BT44" s="83">
        <v>41927</v>
      </c>
      <c r="BU44" s="4">
        <v>38.267940000000003</v>
      </c>
      <c r="BV44" s="4">
        <v>39.080570000000002</v>
      </c>
      <c r="BX44" s="86">
        <v>42</v>
      </c>
      <c r="BY44" s="83">
        <v>41927</v>
      </c>
      <c r="BZ44" s="4">
        <v>37.059289999999997</v>
      </c>
      <c r="CA44" s="4">
        <v>38.00656</v>
      </c>
      <c r="CC44" s="86">
        <v>42</v>
      </c>
      <c r="CD44" s="83">
        <v>41927</v>
      </c>
      <c r="CE44" s="4">
        <v>14.5662</v>
      </c>
      <c r="CF44" s="4">
        <v>13.48232</v>
      </c>
    </row>
    <row r="45" spans="1:84" x14ac:dyDescent="0.25">
      <c r="A45" s="3">
        <v>41935</v>
      </c>
      <c r="B45" t="s">
        <v>9</v>
      </c>
      <c r="C45">
        <v>800</v>
      </c>
      <c r="D45">
        <v>40</v>
      </c>
      <c r="E45">
        <v>38</v>
      </c>
      <c r="F45">
        <v>13</v>
      </c>
      <c r="H45" s="4">
        <v>38.859569999999998</v>
      </c>
      <c r="I45" s="4">
        <v>37.626510000000003</v>
      </c>
      <c r="J45" s="4">
        <v>14.3371</v>
      </c>
      <c r="L45" t="str">
        <f t="shared" si="9"/>
        <v/>
      </c>
      <c r="M45" t="str">
        <f t="shared" si="10"/>
        <v/>
      </c>
      <c r="N45" t="str">
        <f t="shared" si="11"/>
        <v/>
      </c>
      <c r="P45" t="str">
        <f t="shared" si="12"/>
        <v/>
      </c>
      <c r="Q45" t="str">
        <f t="shared" si="13"/>
        <v/>
      </c>
      <c r="R45" t="str">
        <f t="shared" si="14"/>
        <v/>
      </c>
      <c r="T45" t="str">
        <f t="shared" si="15"/>
        <v/>
      </c>
      <c r="U45" t="str">
        <f t="shared" si="16"/>
        <v/>
      </c>
      <c r="V45" t="str">
        <f t="shared" si="17"/>
        <v/>
      </c>
      <c r="X45" t="str">
        <f t="shared" si="18"/>
        <v/>
      </c>
      <c r="Y45" t="str">
        <f t="shared" si="19"/>
        <v/>
      </c>
      <c r="Z45" t="str">
        <f t="shared" si="20"/>
        <v/>
      </c>
      <c r="AB45">
        <f t="shared" si="21"/>
        <v>-1.1404300000000021</v>
      </c>
      <c r="AC45">
        <f t="shared" si="22"/>
        <v>-0.37348999999999677</v>
      </c>
      <c r="AD45">
        <f t="shared" si="23"/>
        <v>1.3370999999999995</v>
      </c>
      <c r="AF45" t="str">
        <f t="shared" si="24"/>
        <v/>
      </c>
      <c r="AG45" t="str">
        <f t="shared" si="25"/>
        <v/>
      </c>
      <c r="AH45" t="str">
        <f t="shared" si="26"/>
        <v/>
      </c>
      <c r="AJ45" t="str">
        <f t="shared" si="27"/>
        <v/>
      </c>
      <c r="AK45" t="str">
        <f t="shared" si="28"/>
        <v/>
      </c>
      <c r="AL45" t="str">
        <f t="shared" si="29"/>
        <v/>
      </c>
      <c r="AT45" s="1">
        <f t="shared" si="30"/>
        <v>41935</v>
      </c>
      <c r="AU45">
        <f t="shared" si="8"/>
        <v>904.58715596330285</v>
      </c>
      <c r="AV45" s="6">
        <f t="shared" si="31"/>
        <v>49.292800000000007</v>
      </c>
      <c r="AW45" s="6">
        <f t="shared" si="32"/>
        <v>50.7072</v>
      </c>
      <c r="AX45">
        <f t="shared" si="36"/>
        <v>40.700000000000003</v>
      </c>
      <c r="AY45">
        <f t="shared" si="37"/>
        <v>36.9</v>
      </c>
      <c r="AZ45">
        <f t="shared" si="38"/>
        <v>12</v>
      </c>
      <c r="BA45">
        <f t="shared" si="33"/>
        <v>10.400000000000006</v>
      </c>
      <c r="BB45" s="6"/>
      <c r="BC45" s="32"/>
      <c r="BD45" s="4">
        <v>39.277560000000001</v>
      </c>
      <c r="BE45" s="4">
        <v>38.178150000000002</v>
      </c>
      <c r="BF45" s="4">
        <v>13.5023</v>
      </c>
      <c r="BG45">
        <f t="shared" si="34"/>
        <v>9.0419899999999842</v>
      </c>
      <c r="BS45" s="86">
        <v>43</v>
      </c>
      <c r="BT45" s="83">
        <v>41935</v>
      </c>
      <c r="BU45" s="4">
        <v>40.700000000000003</v>
      </c>
      <c r="BV45" s="4">
        <v>39.277560000000001</v>
      </c>
      <c r="BX45" s="86">
        <v>43</v>
      </c>
      <c r="BY45" s="83">
        <v>41935</v>
      </c>
      <c r="BZ45" s="4">
        <v>36.9</v>
      </c>
      <c r="CA45" s="4">
        <v>38.178150000000002</v>
      </c>
      <c r="CC45" s="86">
        <v>43</v>
      </c>
      <c r="CD45" s="83">
        <v>41935</v>
      </c>
      <c r="CE45" s="4">
        <v>12</v>
      </c>
      <c r="CF45" s="4">
        <v>13.5023</v>
      </c>
    </row>
    <row r="46" spans="1:84" x14ac:dyDescent="0.25">
      <c r="A46" s="3">
        <v>41935</v>
      </c>
      <c r="B46" t="s">
        <v>6</v>
      </c>
      <c r="C46">
        <v>1153</v>
      </c>
      <c r="D46">
        <v>38.6</v>
      </c>
      <c r="E46">
        <v>37.5</v>
      </c>
      <c r="F46">
        <v>13.3</v>
      </c>
      <c r="H46" s="4">
        <v>38.859569999999998</v>
      </c>
      <c r="I46" s="4">
        <v>37.626510000000003</v>
      </c>
      <c r="J46" s="4">
        <v>14.3371</v>
      </c>
      <c r="L46" t="str">
        <f t="shared" si="9"/>
        <v/>
      </c>
      <c r="M46" t="str">
        <f t="shared" si="10"/>
        <v/>
      </c>
      <c r="N46" t="str">
        <f t="shared" si="11"/>
        <v/>
      </c>
      <c r="P46">
        <f t="shared" si="12"/>
        <v>0.25956999999999653</v>
      </c>
      <c r="Q46">
        <f t="shared" si="13"/>
        <v>0.12651000000000323</v>
      </c>
      <c r="R46">
        <f t="shared" si="14"/>
        <v>1.0370999999999988</v>
      </c>
      <c r="T46" t="str">
        <f t="shared" si="15"/>
        <v/>
      </c>
      <c r="U46" t="str">
        <f t="shared" si="16"/>
        <v/>
      </c>
      <c r="V46" t="str">
        <f t="shared" si="17"/>
        <v/>
      </c>
      <c r="X46" t="str">
        <f t="shared" si="18"/>
        <v/>
      </c>
      <c r="Y46" t="str">
        <f t="shared" si="19"/>
        <v/>
      </c>
      <c r="Z46" t="str">
        <f t="shared" si="20"/>
        <v/>
      </c>
      <c r="AB46" t="str">
        <f t="shared" si="21"/>
        <v/>
      </c>
      <c r="AC46" t="str">
        <f t="shared" si="22"/>
        <v/>
      </c>
      <c r="AD46" t="str">
        <f t="shared" si="23"/>
        <v/>
      </c>
      <c r="AF46" t="str">
        <f t="shared" si="24"/>
        <v/>
      </c>
      <c r="AG46" t="str">
        <f t="shared" si="25"/>
        <v/>
      </c>
      <c r="AH46" t="str">
        <f t="shared" si="26"/>
        <v/>
      </c>
      <c r="AJ46" t="str">
        <f t="shared" si="27"/>
        <v/>
      </c>
      <c r="AK46" t="str">
        <f t="shared" si="28"/>
        <v/>
      </c>
      <c r="AL46" t="str">
        <f t="shared" si="29"/>
        <v/>
      </c>
      <c r="AT46" s="1">
        <f t="shared" si="30"/>
        <v>41935</v>
      </c>
      <c r="AU46">
        <f t="shared" si="8"/>
        <v>426.61</v>
      </c>
      <c r="AV46" s="6">
        <f t="shared" si="31"/>
        <v>48.323900000000002</v>
      </c>
      <c r="AW46" s="6">
        <f t="shared" si="32"/>
        <v>51.676100000000005</v>
      </c>
      <c r="AX46">
        <f t="shared" si="36"/>
        <v>38.6</v>
      </c>
      <c r="AY46">
        <f t="shared" si="37"/>
        <v>35.9</v>
      </c>
      <c r="AZ46">
        <f t="shared" si="38"/>
        <v>13.8</v>
      </c>
      <c r="BA46">
        <f t="shared" si="33"/>
        <v>11.700000000000003</v>
      </c>
      <c r="BD46" s="4">
        <v>39.277560000000001</v>
      </c>
      <c r="BE46" s="4">
        <v>38.178150000000002</v>
      </c>
      <c r="BF46" s="4">
        <v>13.5023</v>
      </c>
      <c r="BG46">
        <f t="shared" si="34"/>
        <v>9.0419899999999842</v>
      </c>
      <c r="BS46" s="86">
        <v>44</v>
      </c>
      <c r="BT46" s="83">
        <v>41935</v>
      </c>
      <c r="BU46" s="4">
        <v>38.6</v>
      </c>
      <c r="BV46" s="4">
        <v>39.277560000000001</v>
      </c>
      <c r="BX46" s="86">
        <v>44</v>
      </c>
      <c r="BY46" s="83">
        <v>41935</v>
      </c>
      <c r="BZ46" s="4">
        <v>35.9</v>
      </c>
      <c r="CA46" s="4">
        <v>38.178150000000002</v>
      </c>
      <c r="CC46" s="86">
        <v>44</v>
      </c>
      <c r="CD46" s="83">
        <v>41935</v>
      </c>
      <c r="CE46" s="4">
        <v>13.8</v>
      </c>
      <c r="CF46" s="4">
        <v>13.5023</v>
      </c>
    </row>
    <row r="47" spans="1:84" x14ac:dyDescent="0.25">
      <c r="A47" s="2">
        <v>41938</v>
      </c>
      <c r="B47" t="s">
        <v>10</v>
      </c>
      <c r="C47">
        <v>1700</v>
      </c>
      <c r="D47">
        <v>37.5</v>
      </c>
      <c r="E47">
        <v>34</v>
      </c>
      <c r="F47">
        <v>18.5</v>
      </c>
      <c r="H47" s="4">
        <v>38.906489999999998</v>
      </c>
      <c r="I47" s="4">
        <v>37.578919999999997</v>
      </c>
      <c r="J47" s="4">
        <v>14.35609</v>
      </c>
      <c r="L47" t="str">
        <f t="shared" si="9"/>
        <v/>
      </c>
      <c r="M47" t="str">
        <f t="shared" si="10"/>
        <v/>
      </c>
      <c r="N47" t="str">
        <f t="shared" si="11"/>
        <v/>
      </c>
      <c r="P47" t="str">
        <f t="shared" si="12"/>
        <v/>
      </c>
      <c r="Q47" t="str">
        <f t="shared" si="13"/>
        <v/>
      </c>
      <c r="R47" t="str">
        <f t="shared" si="14"/>
        <v/>
      </c>
      <c r="T47" t="str">
        <f t="shared" si="15"/>
        <v/>
      </c>
      <c r="U47" t="str">
        <f t="shared" si="16"/>
        <v/>
      </c>
      <c r="V47" t="str">
        <f t="shared" si="17"/>
        <v/>
      </c>
      <c r="X47" t="str">
        <f t="shared" si="18"/>
        <v/>
      </c>
      <c r="Y47" t="str">
        <f t="shared" si="19"/>
        <v/>
      </c>
      <c r="Z47" t="str">
        <f t="shared" si="20"/>
        <v/>
      </c>
      <c r="AB47" t="str">
        <f t="shared" si="21"/>
        <v/>
      </c>
      <c r="AC47" t="str">
        <f t="shared" si="22"/>
        <v/>
      </c>
      <c r="AD47" t="str">
        <f t="shared" si="23"/>
        <v/>
      </c>
      <c r="AF47">
        <f t="shared" si="24"/>
        <v>1.406489999999998</v>
      </c>
      <c r="AG47">
        <f t="shared" si="25"/>
        <v>3.5789199999999965</v>
      </c>
      <c r="AH47">
        <f t="shared" si="26"/>
        <v>-4.14391</v>
      </c>
      <c r="AJ47" t="str">
        <f t="shared" si="27"/>
        <v/>
      </c>
      <c r="AK47" t="str">
        <f t="shared" si="28"/>
        <v/>
      </c>
      <c r="AL47" t="str">
        <f t="shared" si="29"/>
        <v/>
      </c>
      <c r="AT47" s="1">
        <f t="shared" si="30"/>
        <v>41938</v>
      </c>
      <c r="AU47">
        <f t="shared" si="8"/>
        <v>619.88544232685751</v>
      </c>
      <c r="AV47" s="6">
        <f t="shared" si="31"/>
        <v>46.943994066000002</v>
      </c>
      <c r="AW47" s="6">
        <f t="shared" si="32"/>
        <v>53.056005934000005</v>
      </c>
      <c r="AX47">
        <f t="shared" si="36"/>
        <v>38.346284000000004</v>
      </c>
      <c r="AY47">
        <f t="shared" si="37"/>
        <v>37.946494000000001</v>
      </c>
      <c r="AZ47">
        <f t="shared" si="38"/>
        <v>13.891064</v>
      </c>
      <c r="BA47">
        <f t="shared" si="33"/>
        <v>9.8161580000000015</v>
      </c>
      <c r="BD47" s="4">
        <v>39.32159</v>
      </c>
      <c r="BE47" s="4">
        <v>38.231169999999999</v>
      </c>
      <c r="BF47" s="4">
        <v>13.509790000000001</v>
      </c>
      <c r="BG47">
        <f t="shared" si="34"/>
        <v>8.9374499999999983</v>
      </c>
      <c r="BS47" s="86">
        <v>45</v>
      </c>
      <c r="BT47" s="83">
        <v>41938</v>
      </c>
      <c r="BU47" s="4">
        <v>38.70881</v>
      </c>
      <c r="BV47" s="4">
        <v>39.32159</v>
      </c>
      <c r="BX47" s="86">
        <v>45</v>
      </c>
      <c r="BY47" s="83">
        <v>41938</v>
      </c>
      <c r="BZ47" s="4">
        <v>37.794960000000003</v>
      </c>
      <c r="CA47" s="4">
        <v>38.231169999999999</v>
      </c>
      <c r="CC47" s="86">
        <v>45</v>
      </c>
      <c r="CD47" s="83">
        <v>41938</v>
      </c>
      <c r="CE47" s="4">
        <v>14.52073</v>
      </c>
      <c r="CF47" s="4">
        <v>13.509790000000001</v>
      </c>
    </row>
    <row r="48" spans="1:84" x14ac:dyDescent="0.25">
      <c r="A48" s="3">
        <v>41938</v>
      </c>
      <c r="B48" t="s">
        <v>714</v>
      </c>
      <c r="C48">
        <v>1400</v>
      </c>
      <c r="D48">
        <v>39</v>
      </c>
      <c r="E48">
        <v>37</v>
      </c>
      <c r="F48">
        <v>17</v>
      </c>
      <c r="H48" s="4">
        <v>38.906489999999998</v>
      </c>
      <c r="I48" s="4">
        <v>37.578919999999997</v>
      </c>
      <c r="J48" s="4">
        <v>14.35609</v>
      </c>
      <c r="L48" t="str">
        <f t="shared" si="9"/>
        <v/>
      </c>
      <c r="M48" t="str">
        <f t="shared" si="10"/>
        <v/>
      </c>
      <c r="N48" t="str">
        <f t="shared" si="11"/>
        <v/>
      </c>
      <c r="P48" t="str">
        <f t="shared" si="12"/>
        <v/>
      </c>
      <c r="Q48" t="str">
        <f t="shared" si="13"/>
        <v/>
      </c>
      <c r="R48" t="str">
        <f t="shared" si="14"/>
        <v/>
      </c>
      <c r="T48" t="str">
        <f t="shared" si="15"/>
        <v/>
      </c>
      <c r="U48" t="str">
        <f t="shared" si="16"/>
        <v/>
      </c>
      <c r="V48" t="str">
        <f t="shared" si="17"/>
        <v/>
      </c>
      <c r="X48" t="str">
        <f t="shared" si="18"/>
        <v/>
      </c>
      <c r="Y48" t="str">
        <f t="shared" si="19"/>
        <v/>
      </c>
      <c r="Z48" t="str">
        <f t="shared" si="20"/>
        <v/>
      </c>
      <c r="AB48" t="str">
        <f t="shared" si="21"/>
        <v/>
      </c>
      <c r="AC48" t="str">
        <f t="shared" si="22"/>
        <v/>
      </c>
      <c r="AD48" t="str">
        <f t="shared" si="23"/>
        <v/>
      </c>
      <c r="AF48" t="str">
        <f t="shared" si="24"/>
        <v/>
      </c>
      <c r="AG48" t="str">
        <f t="shared" si="25"/>
        <v/>
      </c>
      <c r="AH48" t="str">
        <f t="shared" si="26"/>
        <v/>
      </c>
      <c r="AJ48">
        <f t="shared" si="27"/>
        <v>-9.351000000000198E-2</v>
      </c>
      <c r="AK48">
        <f t="shared" si="28"/>
        <v>0.57891999999999655</v>
      </c>
      <c r="AL48">
        <f t="shared" si="29"/>
        <v>-2.64391</v>
      </c>
      <c r="AT48" s="1">
        <f t="shared" si="30"/>
        <v>41938</v>
      </c>
      <c r="AU48">
        <f t="shared" si="8"/>
        <v>585.74983635963736</v>
      </c>
      <c r="AV48" s="6">
        <f t="shared" si="31"/>
        <v>46.450158129999991</v>
      </c>
      <c r="AW48" s="6">
        <f t="shared" si="32"/>
        <v>53.549841869999995</v>
      </c>
      <c r="AX48">
        <f t="shared" si="36"/>
        <v>38.637453333333333</v>
      </c>
      <c r="AY48">
        <f t="shared" si="37"/>
        <v>38.9465</v>
      </c>
      <c r="AZ48">
        <f t="shared" si="38"/>
        <v>13.89409</v>
      </c>
      <c r="BA48">
        <f t="shared" si="33"/>
        <v>8.5219566666666537</v>
      </c>
      <c r="BD48" s="4">
        <v>39.32159</v>
      </c>
      <c r="BE48" s="4">
        <v>38.231169999999999</v>
      </c>
      <c r="BF48" s="4">
        <v>13.509790000000001</v>
      </c>
      <c r="BG48">
        <f t="shared" si="34"/>
        <v>8.9374499999999983</v>
      </c>
      <c r="BS48" s="86">
        <v>46</v>
      </c>
      <c r="BT48" s="83">
        <v>41938</v>
      </c>
      <c r="BU48" s="4">
        <v>38.946440000000003</v>
      </c>
      <c r="BV48" s="4">
        <v>39.32159</v>
      </c>
      <c r="BX48" s="86">
        <v>46</v>
      </c>
      <c r="BY48" s="83">
        <v>41938</v>
      </c>
      <c r="BZ48" s="4">
        <v>36.539239999999999</v>
      </c>
      <c r="CA48" s="4">
        <v>38.231169999999999</v>
      </c>
      <c r="CC48" s="86">
        <v>46</v>
      </c>
      <c r="CD48" s="83">
        <v>41938</v>
      </c>
      <c r="CE48" s="4">
        <v>14.87191</v>
      </c>
      <c r="CF48" s="4">
        <v>13.509790000000001</v>
      </c>
    </row>
    <row r="49" spans="1:84" x14ac:dyDescent="0.25">
      <c r="A49" s="3">
        <v>41943</v>
      </c>
      <c r="B49" t="s">
        <v>5</v>
      </c>
      <c r="C49">
        <v>1106</v>
      </c>
      <c r="D49">
        <v>39</v>
      </c>
      <c r="E49">
        <v>41</v>
      </c>
      <c r="F49">
        <v>13</v>
      </c>
      <c r="G49">
        <v>46</v>
      </c>
      <c r="H49" s="4">
        <v>38.98639</v>
      </c>
      <c r="I49" s="4">
        <v>37.499560000000002</v>
      </c>
      <c r="J49" s="4">
        <v>14.38772</v>
      </c>
      <c r="L49">
        <f t="shared" si="9"/>
        <v>-1.36099999999999E-2</v>
      </c>
      <c r="M49">
        <f t="shared" si="10"/>
        <v>-3.5004399999999976</v>
      </c>
      <c r="N49">
        <f t="shared" si="11"/>
        <v>1.3877199999999998</v>
      </c>
      <c r="P49" t="str">
        <f t="shared" si="12"/>
        <v/>
      </c>
      <c r="Q49" t="str">
        <f t="shared" si="13"/>
        <v/>
      </c>
      <c r="R49" t="str">
        <f t="shared" si="14"/>
        <v/>
      </c>
      <c r="T49" t="str">
        <f t="shared" si="15"/>
        <v/>
      </c>
      <c r="U49" t="str">
        <f t="shared" si="16"/>
        <v/>
      </c>
      <c r="V49" t="str">
        <f t="shared" si="17"/>
        <v/>
      </c>
      <c r="X49" t="str">
        <f t="shared" si="18"/>
        <v/>
      </c>
      <c r="Y49" t="str">
        <f t="shared" si="19"/>
        <v/>
      </c>
      <c r="Z49" t="str">
        <f t="shared" si="20"/>
        <v/>
      </c>
      <c r="AB49" t="str">
        <f t="shared" si="21"/>
        <v/>
      </c>
      <c r="AC49" t="str">
        <f t="shared" si="22"/>
        <v/>
      </c>
      <c r="AD49" t="str">
        <f t="shared" si="23"/>
        <v/>
      </c>
      <c r="AF49" t="str">
        <f t="shared" si="24"/>
        <v/>
      </c>
      <c r="AG49" t="str">
        <f t="shared" si="25"/>
        <v/>
      </c>
      <c r="AH49" t="str">
        <f t="shared" si="26"/>
        <v/>
      </c>
      <c r="AJ49" t="str">
        <f t="shared" si="27"/>
        <v/>
      </c>
      <c r="AK49" t="str">
        <f t="shared" si="28"/>
        <v/>
      </c>
      <c r="AL49" t="str">
        <f t="shared" si="29"/>
        <v/>
      </c>
      <c r="AT49" s="1">
        <f t="shared" si="30"/>
        <v>41943</v>
      </c>
      <c r="AU49">
        <f t="shared" si="8"/>
        <v>1106</v>
      </c>
      <c r="AV49" s="6">
        <f t="shared" si="31"/>
        <v>45.764800000000008</v>
      </c>
      <c r="AW49" s="6">
        <f t="shared" si="32"/>
        <v>54.235199999999999</v>
      </c>
      <c r="AX49">
        <f t="shared" si="36"/>
        <v>39.6</v>
      </c>
      <c r="AY49">
        <f t="shared" si="37"/>
        <v>42</v>
      </c>
      <c r="AZ49">
        <f t="shared" si="38"/>
        <v>12</v>
      </c>
      <c r="BA49">
        <f t="shared" si="33"/>
        <v>6.4000000000000057</v>
      </c>
      <c r="BD49" s="4">
        <v>39.370019999999997</v>
      </c>
      <c r="BE49" s="4">
        <v>38.319540000000003</v>
      </c>
      <c r="BF49" s="4">
        <v>13.52228</v>
      </c>
      <c r="BG49">
        <f t="shared" si="34"/>
        <v>8.7881600000000049</v>
      </c>
      <c r="BS49" s="86">
        <v>47</v>
      </c>
      <c r="BT49" s="83">
        <v>41943</v>
      </c>
      <c r="BU49" s="4">
        <v>39.6</v>
      </c>
      <c r="BV49" s="4">
        <v>39.370019999999997</v>
      </c>
      <c r="BX49" s="86">
        <v>47</v>
      </c>
      <c r="BY49" s="83">
        <v>41943</v>
      </c>
      <c r="BZ49" s="4">
        <v>42</v>
      </c>
      <c r="CA49" s="4">
        <v>38.319540000000003</v>
      </c>
      <c r="CC49" s="86">
        <v>47</v>
      </c>
      <c r="CD49" s="83">
        <v>41943</v>
      </c>
      <c r="CE49" s="4">
        <v>12</v>
      </c>
      <c r="CF49" s="4">
        <v>13.52228</v>
      </c>
    </row>
    <row r="50" spans="1:84" x14ac:dyDescent="0.25">
      <c r="A50" s="3">
        <v>41951</v>
      </c>
      <c r="B50" t="s">
        <v>714</v>
      </c>
      <c r="C50">
        <f>1000*1.03</f>
        <v>1030</v>
      </c>
      <c r="D50">
        <v>39</v>
      </c>
      <c r="E50">
        <v>39</v>
      </c>
      <c r="F50">
        <v>16</v>
      </c>
      <c r="H50" s="4">
        <v>38.98639</v>
      </c>
      <c r="I50" s="4">
        <v>37.499560000000002</v>
      </c>
      <c r="J50" s="4">
        <v>14.38772</v>
      </c>
      <c r="AJ50">
        <f>IF($B50=AJ$1,$H50-$D50,"")</f>
        <v>-1.36099999999999E-2</v>
      </c>
      <c r="AK50">
        <f>IF($B50=AK$1,$I50-$E50,"")</f>
        <v>-1.5004399999999976</v>
      </c>
      <c r="AL50">
        <f>IF($B50=AL$1,$J50-$F50,"")</f>
        <v>-1.6122800000000002</v>
      </c>
      <c r="AT50" s="1">
        <f>A50</f>
        <v>41951</v>
      </c>
      <c r="AU50">
        <f t="shared" si="8"/>
        <v>430.94452246459036</v>
      </c>
      <c r="AV50" s="6">
        <f>AX50+(AZ50*0.19)+(BA50*0.607)</f>
        <v>45.653158129999994</v>
      </c>
      <c r="AW50" s="6">
        <f>AY50+(AZ50*0.81)+(BA50*0.393)</f>
        <v>54.346841869999992</v>
      </c>
      <c r="AX50">
        <f t="shared" si="36"/>
        <v>38.637453333333333</v>
      </c>
      <c r="AY50">
        <f t="shared" si="37"/>
        <v>40.9465</v>
      </c>
      <c r="AZ50">
        <f t="shared" si="38"/>
        <v>12.89409</v>
      </c>
      <c r="BA50">
        <f>100-SUM(AX50:AZ50)</f>
        <v>7.5219566666666537</v>
      </c>
      <c r="BD50" s="4">
        <v>39.443680000000001</v>
      </c>
      <c r="BE50" s="4">
        <v>38.472320000000003</v>
      </c>
      <c r="BF50" s="4">
        <v>13.54242</v>
      </c>
      <c r="BG50">
        <f t="shared" si="34"/>
        <v>8.5415800000000104</v>
      </c>
      <c r="BS50" s="86">
        <v>48</v>
      </c>
      <c r="BT50" s="83">
        <v>41951</v>
      </c>
      <c r="BU50" s="4">
        <v>38.946440000000003</v>
      </c>
      <c r="BV50" s="4">
        <v>39.443680000000001</v>
      </c>
      <c r="BX50" s="86">
        <v>48</v>
      </c>
      <c r="BY50" s="83">
        <v>41951</v>
      </c>
      <c r="BZ50" s="4">
        <v>38.539239999999999</v>
      </c>
      <c r="CA50" s="4">
        <v>38.472320000000003</v>
      </c>
      <c r="CC50" s="86">
        <v>48</v>
      </c>
      <c r="CD50" s="83">
        <v>41951</v>
      </c>
      <c r="CE50" s="4">
        <v>13.87191</v>
      </c>
      <c r="CF50" s="4">
        <v>13.54242</v>
      </c>
    </row>
    <row r="51" spans="1:84" x14ac:dyDescent="0.25">
      <c r="A51" s="3">
        <v>41952</v>
      </c>
      <c r="B51" t="s">
        <v>7</v>
      </c>
      <c r="C51">
        <f>794/3</f>
        <v>264.66666666666669</v>
      </c>
      <c r="D51">
        <v>40</v>
      </c>
      <c r="E51">
        <v>39</v>
      </c>
      <c r="F51">
        <v>13</v>
      </c>
      <c r="H51" s="4"/>
      <c r="I51" s="4"/>
      <c r="J51" s="4"/>
      <c r="AT51" s="1">
        <f t="shared" ref="AT51:AT61" si="39">A51</f>
        <v>41952</v>
      </c>
      <c r="AU51">
        <f t="shared" ref="AU51:AU61" si="40">C51*INDEX($AR$3:$AR$9,MATCH(B51,AN$3:AN$9,0))</f>
        <v>146.27586815448362</v>
      </c>
      <c r="AV51" s="6">
        <f t="shared" ref="AV51:AV61" si="41">AX51+(AZ51*0.19)+(BA51*0.607)</f>
        <v>46.517475070000003</v>
      </c>
      <c r="AW51" s="6">
        <f t="shared" ref="AW51:AW61" si="42">AY51+(AZ51*0.81)+(BA51*0.393)</f>
        <v>53.482524930000004</v>
      </c>
      <c r="AX51">
        <f t="shared" ref="AX51:AX61" si="43">D51+INDEX(AO$3:AO$9,MATCH($B51,$AN$3:$AN$9,0))</f>
        <v>38.595790000000001</v>
      </c>
      <c r="AY51">
        <f t="shared" ref="AY51:AY61" si="44">E51+INDEX(AP$3:AP$9,MATCH($B51,$AN$3:$AN$9,0))</f>
        <v>37.955582999999997</v>
      </c>
      <c r="AZ51">
        <f t="shared" ref="AZ51:AZ61" si="45">F51+INDEX(AQ$3:AQ$9,MATCH($B51,$AN$3:$AN$9,0))</f>
        <v>15.135807</v>
      </c>
      <c r="BA51">
        <f t="shared" ref="BA51:BA61" si="46">100-SUM(AX51:AZ51)</f>
        <v>8.3128200000000021</v>
      </c>
      <c r="BD51" s="4"/>
      <c r="BE51" s="4"/>
      <c r="BF51" s="4"/>
      <c r="BS51" s="86"/>
      <c r="BT51" s="83"/>
      <c r="BU51" s="4"/>
      <c r="BV51" s="4"/>
      <c r="BX51" s="86"/>
      <c r="BY51" s="83"/>
      <c r="BZ51" s="4"/>
      <c r="CA51" s="4"/>
      <c r="CC51" s="86"/>
      <c r="CD51" s="83"/>
      <c r="CE51" s="4"/>
      <c r="CF51" s="4"/>
    </row>
    <row r="52" spans="1:84" x14ac:dyDescent="0.25">
      <c r="A52" s="3">
        <v>41952</v>
      </c>
      <c r="B52" t="s">
        <v>10</v>
      </c>
      <c r="C52">
        <v>1847</v>
      </c>
      <c r="D52">
        <v>38</v>
      </c>
      <c r="E52">
        <v>36</v>
      </c>
      <c r="F52">
        <v>18.5</v>
      </c>
      <c r="H52" s="4">
        <v>38.98639</v>
      </c>
      <c r="I52" s="4">
        <v>37.499560000000002</v>
      </c>
      <c r="J52" s="4">
        <v>14.38772</v>
      </c>
      <c r="AJ52" t="str">
        <f t="shared" si="27"/>
        <v/>
      </c>
      <c r="AK52" t="str">
        <f t="shared" si="28"/>
        <v/>
      </c>
      <c r="AL52" t="str">
        <f t="shared" si="29"/>
        <v/>
      </c>
      <c r="AT52" s="1">
        <f t="shared" si="39"/>
        <v>41952</v>
      </c>
      <c r="AU52">
        <f t="shared" si="40"/>
        <v>673.48730116335639</v>
      </c>
      <c r="AV52" s="6">
        <f t="shared" si="41"/>
        <v>45.926494066000004</v>
      </c>
      <c r="AW52" s="6">
        <f t="shared" si="42"/>
        <v>54.073505934000003</v>
      </c>
      <c r="AX52">
        <f t="shared" si="43"/>
        <v>38.846284000000004</v>
      </c>
      <c r="AY52">
        <f t="shared" si="44"/>
        <v>39.946494000000001</v>
      </c>
      <c r="AZ52">
        <f t="shared" si="45"/>
        <v>13.891064</v>
      </c>
      <c r="BA52">
        <f t="shared" si="46"/>
        <v>7.3161580000000015</v>
      </c>
      <c r="BD52" s="4">
        <v>39.452889999999996</v>
      </c>
      <c r="BE52" s="4">
        <v>38.491419999999998</v>
      </c>
      <c r="BF52" s="4">
        <v>13.54494</v>
      </c>
      <c r="BG52">
        <f t="shared" si="34"/>
        <v>8.5107500000000016</v>
      </c>
      <c r="BS52" s="86">
        <v>49</v>
      </c>
      <c r="BT52" s="83">
        <v>41952</v>
      </c>
      <c r="BU52" s="4">
        <v>39.20881</v>
      </c>
      <c r="BV52" s="4">
        <v>39.452889999999996</v>
      </c>
      <c r="BX52" s="86">
        <v>49</v>
      </c>
      <c r="BY52" s="83">
        <v>41952</v>
      </c>
      <c r="BZ52" s="4">
        <v>39.794960000000003</v>
      </c>
      <c r="CA52" s="4">
        <v>38.491419999999998</v>
      </c>
      <c r="CC52" s="86">
        <v>49</v>
      </c>
      <c r="CD52" s="83">
        <v>41952</v>
      </c>
      <c r="CE52" s="4">
        <v>14.52073</v>
      </c>
      <c r="CF52" s="4">
        <v>13.54494</v>
      </c>
    </row>
    <row r="53" spans="1:84" x14ac:dyDescent="0.25">
      <c r="A53" s="3">
        <v>41959</v>
      </c>
      <c r="B53" t="s">
        <v>7</v>
      </c>
      <c r="C53">
        <f>794/3</f>
        <v>264.66666666666669</v>
      </c>
      <c r="D53">
        <v>40</v>
      </c>
      <c r="E53">
        <v>39</v>
      </c>
      <c r="F53">
        <v>13</v>
      </c>
      <c r="H53" s="4"/>
      <c r="I53" s="4"/>
      <c r="J53" s="4"/>
      <c r="AT53" s="1">
        <f t="shared" si="39"/>
        <v>41959</v>
      </c>
      <c r="AU53">
        <f t="shared" si="40"/>
        <v>146.27586815448362</v>
      </c>
      <c r="AV53" s="6">
        <f t="shared" si="41"/>
        <v>46.517475070000003</v>
      </c>
      <c r="AW53" s="6">
        <f t="shared" si="42"/>
        <v>53.482524930000004</v>
      </c>
      <c r="AX53">
        <f t="shared" si="43"/>
        <v>38.595790000000001</v>
      </c>
      <c r="AY53">
        <f t="shared" si="44"/>
        <v>37.955582999999997</v>
      </c>
      <c r="AZ53">
        <f t="shared" si="45"/>
        <v>15.135807</v>
      </c>
      <c r="BA53">
        <f t="shared" si="46"/>
        <v>8.3128200000000021</v>
      </c>
      <c r="BD53" s="4">
        <v>39.561909999999997</v>
      </c>
      <c r="BE53" s="4">
        <v>38.625109999999999</v>
      </c>
      <c r="BF53" s="4">
        <v>13.56256</v>
      </c>
      <c r="BG53">
        <f t="shared" si="34"/>
        <v>8.2504200000000054</v>
      </c>
      <c r="BS53" s="86">
        <v>50</v>
      </c>
      <c r="BT53" s="83">
        <v>41959</v>
      </c>
      <c r="BU53" s="4">
        <v>39.267940000000003</v>
      </c>
      <c r="BV53" s="4">
        <v>39.561909999999997</v>
      </c>
      <c r="BX53" s="86">
        <v>50</v>
      </c>
      <c r="BY53" s="83">
        <v>41959</v>
      </c>
      <c r="BZ53" s="4">
        <v>38.059289999999997</v>
      </c>
      <c r="CA53" s="4">
        <v>38.625109999999999</v>
      </c>
      <c r="CC53" s="86">
        <v>50</v>
      </c>
      <c r="CD53" s="83">
        <v>41959</v>
      </c>
      <c r="CE53" s="4">
        <v>15.5662</v>
      </c>
      <c r="CF53" s="4">
        <v>13.56256</v>
      </c>
    </row>
    <row r="54" spans="1:84" x14ac:dyDescent="0.25">
      <c r="A54" s="1">
        <v>41962</v>
      </c>
      <c r="B54" t="s">
        <v>9</v>
      </c>
      <c r="C54">
        <v>924</v>
      </c>
      <c r="D54">
        <v>40</v>
      </c>
      <c r="E54">
        <v>39</v>
      </c>
      <c r="F54">
        <v>13</v>
      </c>
      <c r="AT54" s="1">
        <f t="shared" si="39"/>
        <v>41962</v>
      </c>
      <c r="AU54">
        <f t="shared" si="40"/>
        <v>1044.7981651376147</v>
      </c>
      <c r="AV54" s="6">
        <f t="shared" si="41"/>
        <v>48.685800000000008</v>
      </c>
      <c r="AW54" s="6">
        <f t="shared" si="42"/>
        <v>51.3142</v>
      </c>
      <c r="AX54">
        <f t="shared" si="43"/>
        <v>40.700000000000003</v>
      </c>
      <c r="AY54">
        <f t="shared" si="44"/>
        <v>37.9</v>
      </c>
      <c r="AZ54">
        <f t="shared" si="45"/>
        <v>12</v>
      </c>
      <c r="BA54">
        <f t="shared" si="46"/>
        <v>9.4000000000000057</v>
      </c>
      <c r="BD54" s="4">
        <v>39.614579999999997</v>
      </c>
      <c r="BE54" s="4">
        <v>38.682450000000003</v>
      </c>
      <c r="BF54" s="4">
        <v>13.57011</v>
      </c>
      <c r="BG54">
        <f t="shared" si="34"/>
        <v>8.1328599999999938</v>
      </c>
      <c r="BS54" s="86">
        <v>51</v>
      </c>
      <c r="BT54" s="83">
        <v>41962</v>
      </c>
      <c r="BU54" s="4">
        <v>40.700000000000003</v>
      </c>
      <c r="BV54" s="4">
        <v>39.614579999999997</v>
      </c>
      <c r="BX54" s="86">
        <v>51</v>
      </c>
      <c r="BY54" s="83">
        <v>41962</v>
      </c>
      <c r="BZ54" s="4">
        <v>37.9</v>
      </c>
      <c r="CA54" s="4">
        <v>38.682450000000003</v>
      </c>
      <c r="CC54" s="86">
        <v>51</v>
      </c>
      <c r="CD54" s="83">
        <v>41962</v>
      </c>
      <c r="CE54" s="4">
        <v>12</v>
      </c>
      <c r="CF54" s="4">
        <v>13.57011</v>
      </c>
    </row>
    <row r="55" spans="1:84" x14ac:dyDescent="0.25">
      <c r="A55" s="1">
        <v>41963</v>
      </c>
      <c r="B55" t="s">
        <v>10</v>
      </c>
      <c r="C55">
        <v>1042</v>
      </c>
      <c r="D55">
        <v>35</v>
      </c>
      <c r="E55">
        <v>35.5</v>
      </c>
      <c r="F55">
        <v>19.5</v>
      </c>
      <c r="AT55" s="1">
        <f t="shared" si="39"/>
        <v>41963</v>
      </c>
      <c r="AU55">
        <f t="shared" si="40"/>
        <v>379.953312296815</v>
      </c>
      <c r="AV55" s="6">
        <f t="shared" si="41"/>
        <v>44.633994066</v>
      </c>
      <c r="AW55" s="6">
        <f t="shared" si="42"/>
        <v>55.366005934000007</v>
      </c>
      <c r="AX55">
        <f t="shared" si="43"/>
        <v>35.846284000000004</v>
      </c>
      <c r="AY55">
        <f t="shared" si="44"/>
        <v>39.446494000000001</v>
      </c>
      <c r="AZ55">
        <f t="shared" si="45"/>
        <v>14.891064</v>
      </c>
      <c r="BA55">
        <f t="shared" si="46"/>
        <v>9.8161580000000015</v>
      </c>
      <c r="BD55" s="4">
        <v>39.63214</v>
      </c>
      <c r="BE55" s="4">
        <v>38.701569999999997</v>
      </c>
      <c r="BF55" s="4">
        <v>13.572620000000001</v>
      </c>
      <c r="BG55">
        <f t="shared" si="34"/>
        <v>8.093670000000003</v>
      </c>
      <c r="BS55" s="86">
        <v>52</v>
      </c>
      <c r="BT55" s="83">
        <v>41963</v>
      </c>
      <c r="BU55" s="4">
        <v>36.20881</v>
      </c>
      <c r="BV55" s="4">
        <v>39.63214</v>
      </c>
      <c r="BX55" s="86">
        <v>52</v>
      </c>
      <c r="BY55" s="83">
        <v>41963</v>
      </c>
      <c r="BZ55" s="4">
        <v>39.294960000000003</v>
      </c>
      <c r="CA55" s="4">
        <v>38.701569999999997</v>
      </c>
      <c r="CC55" s="86">
        <v>52</v>
      </c>
      <c r="CD55" s="83">
        <v>41963</v>
      </c>
      <c r="CE55" s="4">
        <v>15.52073</v>
      </c>
      <c r="CF55" s="4">
        <v>13.572620000000001</v>
      </c>
    </row>
    <row r="56" spans="1:84" x14ac:dyDescent="0.25">
      <c r="A56" s="1">
        <v>41966</v>
      </c>
      <c r="B56" t="s">
        <v>10</v>
      </c>
      <c r="C56">
        <v>1173</v>
      </c>
      <c r="D56">
        <v>39.5</v>
      </c>
      <c r="E56">
        <v>33.5</v>
      </c>
      <c r="F56">
        <v>17.5</v>
      </c>
      <c r="AT56" s="1">
        <f t="shared" si="39"/>
        <v>41966</v>
      </c>
      <c r="AU56">
        <f t="shared" si="40"/>
        <v>427.72095520553171</v>
      </c>
      <c r="AV56" s="6">
        <f t="shared" si="41"/>
        <v>48.450494066000005</v>
      </c>
      <c r="AW56" s="6">
        <f t="shared" si="42"/>
        <v>51.549505934000003</v>
      </c>
      <c r="AX56">
        <f t="shared" si="43"/>
        <v>40.346284000000004</v>
      </c>
      <c r="AY56">
        <f t="shared" si="44"/>
        <v>37.446494000000001</v>
      </c>
      <c r="AZ56">
        <f t="shared" si="45"/>
        <v>12.891064</v>
      </c>
      <c r="BA56">
        <f t="shared" si="46"/>
        <v>9.3161580000000015</v>
      </c>
      <c r="BD56" s="4">
        <v>39.68985</v>
      </c>
      <c r="BE56" s="4">
        <v>38.758920000000003</v>
      </c>
      <c r="BF56" s="4">
        <v>13.58018</v>
      </c>
      <c r="BG56">
        <f t="shared" si="34"/>
        <v>7.9710500000000053</v>
      </c>
      <c r="BS56" s="86">
        <v>53</v>
      </c>
      <c r="BT56" s="83">
        <v>41966</v>
      </c>
      <c r="BU56" s="4">
        <v>40.70881</v>
      </c>
      <c r="BV56" s="4">
        <v>39.68985</v>
      </c>
      <c r="BX56" s="86">
        <v>53</v>
      </c>
      <c r="BY56" s="83">
        <v>41966</v>
      </c>
      <c r="BZ56" s="4">
        <v>37.294960000000003</v>
      </c>
      <c r="CA56" s="4">
        <v>38.758920000000003</v>
      </c>
      <c r="CC56" s="86">
        <v>53</v>
      </c>
      <c r="CD56" s="83">
        <v>41966</v>
      </c>
      <c r="CE56" s="4">
        <v>13.52073</v>
      </c>
      <c r="CF56" s="4">
        <v>13.58018</v>
      </c>
    </row>
    <row r="57" spans="1:84" x14ac:dyDescent="0.25">
      <c r="A57" s="1">
        <v>41966</v>
      </c>
      <c r="B57" t="s">
        <v>7</v>
      </c>
      <c r="C57">
        <f>794/3</f>
        <v>264.66666666666669</v>
      </c>
      <c r="D57">
        <v>40</v>
      </c>
      <c r="E57">
        <v>39</v>
      </c>
      <c r="F57">
        <v>13</v>
      </c>
      <c r="AT57" s="1">
        <f t="shared" si="39"/>
        <v>41966</v>
      </c>
      <c r="AU57">
        <f t="shared" si="40"/>
        <v>146.27586815448362</v>
      </c>
      <c r="AV57" s="6">
        <f t="shared" si="41"/>
        <v>46.517475070000003</v>
      </c>
      <c r="AW57" s="6">
        <f t="shared" si="42"/>
        <v>53.482524930000004</v>
      </c>
      <c r="AX57">
        <f t="shared" si="43"/>
        <v>38.595790000000001</v>
      </c>
      <c r="AY57">
        <f t="shared" si="44"/>
        <v>37.955582999999997</v>
      </c>
      <c r="AZ57">
        <f t="shared" si="45"/>
        <v>15.135807</v>
      </c>
      <c r="BA57">
        <f t="shared" si="46"/>
        <v>8.3128200000000021</v>
      </c>
      <c r="BD57" s="4"/>
      <c r="BE57" s="4"/>
      <c r="BF57" s="4"/>
      <c r="BS57" s="87"/>
      <c r="BT57" s="83"/>
      <c r="BU57" s="4"/>
      <c r="BV57" s="4"/>
      <c r="BX57" s="87"/>
      <c r="BY57" s="83"/>
      <c r="BZ57" s="4"/>
      <c r="CA57" s="4"/>
      <c r="CC57" s="87"/>
      <c r="CD57" s="83"/>
      <c r="CE57" s="4"/>
      <c r="CF57" s="4"/>
    </row>
    <row r="58" spans="1:84" x14ac:dyDescent="0.25">
      <c r="A58" s="1">
        <v>41969</v>
      </c>
      <c r="B58" t="s">
        <v>9</v>
      </c>
      <c r="C58">
        <v>1090</v>
      </c>
      <c r="D58">
        <v>40</v>
      </c>
      <c r="E58">
        <v>39</v>
      </c>
      <c r="F58">
        <v>13</v>
      </c>
      <c r="AT58" s="1">
        <f t="shared" si="39"/>
        <v>41969</v>
      </c>
      <c r="AU58">
        <f t="shared" si="40"/>
        <v>1232.5</v>
      </c>
      <c r="AV58" s="6">
        <f t="shared" si="41"/>
        <v>48.685800000000008</v>
      </c>
      <c r="AW58" s="6">
        <f t="shared" si="42"/>
        <v>51.3142</v>
      </c>
      <c r="AX58">
        <f t="shared" si="43"/>
        <v>40.700000000000003</v>
      </c>
      <c r="AY58">
        <f t="shared" si="44"/>
        <v>37.9</v>
      </c>
      <c r="AZ58">
        <f t="shared" si="45"/>
        <v>12</v>
      </c>
      <c r="BA58">
        <f t="shared" si="46"/>
        <v>9.4000000000000057</v>
      </c>
      <c r="BD58" s="4"/>
      <c r="BE58" s="4"/>
      <c r="BF58" s="4"/>
      <c r="BS58" s="87"/>
      <c r="BT58" s="83"/>
      <c r="BU58" s="4"/>
      <c r="BV58" s="4"/>
      <c r="BX58" s="87"/>
      <c r="BY58" s="83"/>
      <c r="BZ58" s="4"/>
      <c r="CA58" s="4"/>
      <c r="CC58" s="87"/>
      <c r="CD58" s="83"/>
      <c r="CE58" s="4"/>
      <c r="CF58" s="4"/>
    </row>
    <row r="59" spans="1:84" x14ac:dyDescent="0.25">
      <c r="A59" s="1">
        <v>41969</v>
      </c>
      <c r="B59" t="s">
        <v>714</v>
      </c>
      <c r="C59">
        <v>1236</v>
      </c>
      <c r="D59">
        <v>42</v>
      </c>
      <c r="E59">
        <v>35</v>
      </c>
      <c r="F59">
        <v>15</v>
      </c>
      <c r="AT59" s="1">
        <f t="shared" si="39"/>
        <v>41969</v>
      </c>
      <c r="AU59">
        <f t="shared" si="40"/>
        <v>517.13342695750839</v>
      </c>
      <c r="AV59" s="6">
        <f t="shared" si="41"/>
        <v>49.677158129999988</v>
      </c>
      <c r="AW59" s="6">
        <f t="shared" si="42"/>
        <v>50.322841869999998</v>
      </c>
      <c r="AX59">
        <f t="shared" si="43"/>
        <v>41.637453333333333</v>
      </c>
      <c r="AY59">
        <f t="shared" si="44"/>
        <v>36.9465</v>
      </c>
      <c r="AZ59">
        <f t="shared" si="45"/>
        <v>11.89409</v>
      </c>
      <c r="BA59">
        <f t="shared" si="46"/>
        <v>9.5219566666666537</v>
      </c>
      <c r="BD59" s="4"/>
      <c r="BE59" s="4"/>
      <c r="BF59" s="4"/>
      <c r="BS59" s="87"/>
      <c r="BT59" s="83"/>
      <c r="BU59" s="4"/>
      <c r="BV59" s="4"/>
      <c r="BX59" s="87"/>
      <c r="BY59" s="83"/>
      <c r="BZ59" s="4"/>
      <c r="CA59" s="4"/>
      <c r="CC59" s="87"/>
      <c r="CD59" s="83"/>
      <c r="CE59" s="4"/>
      <c r="CF59" s="4"/>
    </row>
    <row r="60" spans="1:84" x14ac:dyDescent="0.25">
      <c r="A60" s="1">
        <v>41969</v>
      </c>
      <c r="B60" t="s">
        <v>5</v>
      </c>
      <c r="C60">
        <v>1584</v>
      </c>
      <c r="D60">
        <v>40</v>
      </c>
      <c r="E60">
        <v>39</v>
      </c>
      <c r="F60">
        <v>12</v>
      </c>
      <c r="AT60" s="1">
        <f t="shared" si="39"/>
        <v>41969</v>
      </c>
      <c r="AU60">
        <f t="shared" si="40"/>
        <v>1584</v>
      </c>
      <c r="AV60" s="6">
        <f t="shared" si="41"/>
        <v>47.788800000000002</v>
      </c>
      <c r="AW60" s="6">
        <f t="shared" si="42"/>
        <v>52.211199999999998</v>
      </c>
      <c r="AX60">
        <f t="shared" si="43"/>
        <v>40.6</v>
      </c>
      <c r="AY60">
        <f t="shared" si="44"/>
        <v>40</v>
      </c>
      <c r="AZ60">
        <f t="shared" si="45"/>
        <v>11</v>
      </c>
      <c r="BA60">
        <f t="shared" si="46"/>
        <v>8.4000000000000057</v>
      </c>
      <c r="BD60" s="4"/>
      <c r="BE60" s="4"/>
      <c r="BF60" s="4"/>
      <c r="BS60" s="87"/>
      <c r="BT60" s="83"/>
      <c r="BU60" s="4"/>
      <c r="BV60" s="4"/>
      <c r="BX60" s="87"/>
      <c r="BY60" s="83"/>
      <c r="BZ60" s="4"/>
      <c r="CA60" s="4"/>
      <c r="CC60" s="87"/>
      <c r="CD60" s="83"/>
      <c r="CE60" s="4"/>
      <c r="CF60" s="4"/>
    </row>
    <row r="61" spans="1:84" x14ac:dyDescent="0.25">
      <c r="A61" s="1">
        <v>41970</v>
      </c>
      <c r="B61" t="s">
        <v>10</v>
      </c>
      <c r="C61">
        <v>1163</v>
      </c>
      <c r="D61">
        <v>44</v>
      </c>
      <c r="E61">
        <v>36</v>
      </c>
      <c r="F61">
        <v>13.5</v>
      </c>
      <c r="AT61" s="1">
        <f t="shared" si="39"/>
        <v>41970</v>
      </c>
      <c r="AU61">
        <f t="shared" si="40"/>
        <v>424.07457025066782</v>
      </c>
      <c r="AV61" s="6">
        <f t="shared" si="41"/>
        <v>50.369494066000001</v>
      </c>
      <c r="AW61" s="6">
        <f t="shared" si="42"/>
        <v>49.630505934000006</v>
      </c>
      <c r="AX61">
        <f t="shared" si="43"/>
        <v>44.846284000000004</v>
      </c>
      <c r="AY61">
        <f t="shared" si="44"/>
        <v>39.946494000000001</v>
      </c>
      <c r="AZ61">
        <f t="shared" si="45"/>
        <v>8.8910640000000001</v>
      </c>
      <c r="BA61">
        <f t="shared" si="46"/>
        <v>6.3161580000000015</v>
      </c>
      <c r="BD61" s="4"/>
      <c r="BE61" s="4"/>
      <c r="BF61" s="4"/>
      <c r="BS61" s="87"/>
      <c r="BT61" s="83"/>
      <c r="BU61" s="4"/>
      <c r="BV61" s="4"/>
      <c r="BX61" s="87"/>
      <c r="BY61" s="83"/>
      <c r="BZ61" s="4"/>
      <c r="CA61" s="4"/>
      <c r="CC61" s="87"/>
      <c r="CD61" s="83"/>
      <c r="CE61" s="4"/>
      <c r="CF61" s="4"/>
    </row>
    <row r="62" spans="1:84" x14ac:dyDescent="0.25">
      <c r="A62" s="1"/>
      <c r="AT62" s="1"/>
      <c r="AV62" s="6"/>
      <c r="AW62" s="6"/>
      <c r="BD62" s="4"/>
      <c r="BE62" s="4"/>
      <c r="BF62" s="4"/>
      <c r="BS62" s="87"/>
      <c r="BT62" s="83"/>
      <c r="BU62" s="4"/>
      <c r="BV62" s="4"/>
      <c r="BX62" s="87"/>
      <c r="BY62" s="83"/>
      <c r="BZ62" s="4"/>
      <c r="CA62" s="4"/>
      <c r="CC62" s="87"/>
      <c r="CD62" s="83"/>
      <c r="CE62" s="4"/>
      <c r="CF62" s="4"/>
    </row>
    <row r="63" spans="1:84" x14ac:dyDescent="0.25">
      <c r="AT63" s="1"/>
      <c r="AV63" s="6"/>
      <c r="AW63" s="6"/>
    </row>
    <row r="64" spans="1:84" x14ac:dyDescent="0.25">
      <c r="L64">
        <f>AVERAGE(L6:L52)</f>
        <v>0.83016214285714285</v>
      </c>
      <c r="M64">
        <f>AVERAGE(M6:M52)</f>
        <v>-0.29254857142857055</v>
      </c>
      <c r="N64">
        <f>AVERAGE(N6:N52)</f>
        <v>-0.28317642857142872</v>
      </c>
      <c r="P64">
        <f>AVERAGE(P6:P52)</f>
        <v>-1.7628299999999999</v>
      </c>
      <c r="Q64">
        <f>AVERAGE(Q6:Q52)</f>
        <v>1.5824671428571437</v>
      </c>
      <c r="R64">
        <f>AVERAGE(R6:R52)</f>
        <v>0.96274857142857073</v>
      </c>
      <c r="T64">
        <f>AVERAGE(T6:T52)</f>
        <v>-0.73205833333333337</v>
      </c>
      <c r="U64">
        <f>AVERAGE(U6:U52)</f>
        <v>-0.94071416666666607</v>
      </c>
      <c r="V64">
        <f>AVERAGE(V6:V52)</f>
        <v>2.5661991666666668</v>
      </c>
      <c r="X64">
        <f>AVERAGE(X6:X52)</f>
        <v>0.20588333333333253</v>
      </c>
      <c r="Y64">
        <f>AVERAGE(Y6:Y52)</f>
        <v>-0.1618066666666659</v>
      </c>
      <c r="Z64">
        <f>AVERAGE(Z6:Z52)</f>
        <v>-1.5275000000000005</v>
      </c>
      <c r="AB64">
        <f>AVERAGE(AB6:AB52)</f>
        <v>-1.1951699999999998</v>
      </c>
      <c r="AC64">
        <f>AVERAGE(AC6:AC52)</f>
        <v>-0.57961000000000007</v>
      </c>
      <c r="AD64">
        <f>AVERAGE(AD6:AD52)</f>
        <v>1.4304199999999998</v>
      </c>
      <c r="AF64">
        <f>AVERAGE(AF6:AF52)</f>
        <v>1.2088049999999981</v>
      </c>
      <c r="AG64">
        <f>AVERAGE(AG6:AG52)</f>
        <v>3.7949549999999981</v>
      </c>
      <c r="AH64">
        <f>AVERAGE(AH6:AH52)</f>
        <v>-3.9792699999999996</v>
      </c>
      <c r="AJ64">
        <f>AVERAGE(AJ6:AJ52)</f>
        <v>-5.356000000000094E-2</v>
      </c>
      <c r="AK64">
        <f>AVERAGE(AK6:AK52)</f>
        <v>-0.4607600000000005</v>
      </c>
      <c r="AL64">
        <f>AVERAGE(AL6:AL52)</f>
        <v>-2.1280950000000001</v>
      </c>
      <c r="AT64" s="1"/>
      <c r="AV64" s="6"/>
      <c r="AW64" s="6"/>
      <c r="BD64" s="31">
        <v>0.4123</v>
      </c>
      <c r="BE64" s="31">
        <v>0.38640000000000002</v>
      </c>
      <c r="BF64" s="31">
        <v>0.1249</v>
      </c>
    </row>
    <row r="66" spans="1:58" x14ac:dyDescent="0.25">
      <c r="BD66" s="31">
        <f>BD61/100</f>
        <v>0</v>
      </c>
      <c r="BE66" s="31">
        <f>BE61/100</f>
        <v>0</v>
      </c>
      <c r="BF66" s="31">
        <f>BF61/100</f>
        <v>0</v>
      </c>
    </row>
    <row r="72" spans="1:58" x14ac:dyDescent="0.25">
      <c r="A72" s="82">
        <f>A39</f>
        <v>41852</v>
      </c>
    </row>
    <row r="73" spans="1:58" x14ac:dyDescent="0.25">
      <c r="A73">
        <f>A72-21916</f>
        <v>19936</v>
      </c>
    </row>
  </sheetData>
  <mergeCells count="1">
    <mergeCell ref="BK5:BL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opLeftCell="A6" workbookViewId="0">
      <selection activeCell="G23" sqref="G23"/>
    </sheetView>
  </sheetViews>
  <sheetFormatPr defaultRowHeight="15" x14ac:dyDescent="0.25"/>
  <cols>
    <col min="1" max="1" width="22.7109375" bestFit="1" customWidth="1"/>
  </cols>
  <sheetData>
    <row r="1" spans="1:15" x14ac:dyDescent="0.25">
      <c r="A1" s="50" t="s">
        <v>697</v>
      </c>
    </row>
    <row r="2" spans="1:15" x14ac:dyDescent="0.25">
      <c r="A2" s="50"/>
      <c r="C2" t="s">
        <v>663</v>
      </c>
      <c r="D2" t="s">
        <v>65</v>
      </c>
      <c r="E2" t="s">
        <v>664</v>
      </c>
      <c r="F2" t="s">
        <v>665</v>
      </c>
      <c r="G2" t="s">
        <v>666</v>
      </c>
      <c r="H2" t="s">
        <v>667</v>
      </c>
      <c r="I2" t="s">
        <v>668</v>
      </c>
      <c r="J2" t="s">
        <v>669</v>
      </c>
      <c r="K2" t="s">
        <v>670</v>
      </c>
      <c r="L2" t="s">
        <v>136</v>
      </c>
      <c r="M2" t="s">
        <v>3</v>
      </c>
      <c r="N2" t="s">
        <v>4</v>
      </c>
      <c r="O2" t="s">
        <v>13</v>
      </c>
    </row>
    <row r="3" spans="1:15" x14ac:dyDescent="0.25">
      <c r="A3" t="s">
        <v>17</v>
      </c>
      <c r="C3">
        <v>37</v>
      </c>
      <c r="D3">
        <v>39</v>
      </c>
      <c r="E3">
        <v>31</v>
      </c>
      <c r="F3">
        <v>34</v>
      </c>
      <c r="G3">
        <v>40</v>
      </c>
      <c r="H3">
        <v>33</v>
      </c>
      <c r="I3">
        <v>34</v>
      </c>
      <c r="J3">
        <v>40</v>
      </c>
      <c r="K3">
        <v>38</v>
      </c>
      <c r="L3">
        <v>0</v>
      </c>
      <c r="M3">
        <v>100</v>
      </c>
      <c r="N3">
        <v>0</v>
      </c>
      <c r="O3">
        <v>0</v>
      </c>
    </row>
    <row r="4" spans="1:15" x14ac:dyDescent="0.25">
      <c r="A4" t="s">
        <v>16</v>
      </c>
      <c r="C4">
        <v>39</v>
      </c>
      <c r="D4">
        <v>37</v>
      </c>
      <c r="E4">
        <v>44</v>
      </c>
      <c r="F4">
        <v>40</v>
      </c>
      <c r="G4">
        <v>37</v>
      </c>
      <c r="H4">
        <v>29</v>
      </c>
      <c r="I4">
        <v>33</v>
      </c>
      <c r="J4">
        <v>37</v>
      </c>
      <c r="K4">
        <v>48</v>
      </c>
      <c r="L4">
        <v>100</v>
      </c>
      <c r="M4">
        <v>0</v>
      </c>
      <c r="N4">
        <v>0</v>
      </c>
      <c r="O4">
        <v>0</v>
      </c>
    </row>
    <row r="5" spans="1:15" x14ac:dyDescent="0.25">
      <c r="A5" t="s">
        <v>650</v>
      </c>
      <c r="C5">
        <v>35</v>
      </c>
      <c r="D5">
        <v>36</v>
      </c>
      <c r="E5">
        <v>33</v>
      </c>
      <c r="F5">
        <v>36</v>
      </c>
      <c r="G5">
        <v>34</v>
      </c>
      <c r="H5">
        <v>28</v>
      </c>
      <c r="I5">
        <v>31</v>
      </c>
      <c r="J5">
        <v>34</v>
      </c>
      <c r="K5">
        <v>43</v>
      </c>
      <c r="L5">
        <v>92</v>
      </c>
      <c r="M5">
        <v>0</v>
      </c>
      <c r="N5">
        <v>0</v>
      </c>
      <c r="O5">
        <v>0</v>
      </c>
    </row>
    <row r="6" spans="1:15" x14ac:dyDescent="0.25">
      <c r="A6" t="s">
        <v>649</v>
      </c>
      <c r="C6">
        <v>3</v>
      </c>
      <c r="D6">
        <v>1</v>
      </c>
      <c r="E6">
        <v>12</v>
      </c>
      <c r="F6">
        <v>4</v>
      </c>
      <c r="G6">
        <v>2</v>
      </c>
      <c r="H6">
        <v>1</v>
      </c>
      <c r="I6">
        <v>1</v>
      </c>
      <c r="J6">
        <v>3</v>
      </c>
      <c r="K6">
        <v>5</v>
      </c>
      <c r="L6">
        <v>8</v>
      </c>
      <c r="M6">
        <v>0</v>
      </c>
      <c r="N6">
        <v>0</v>
      </c>
      <c r="O6">
        <v>0</v>
      </c>
    </row>
    <row r="7" spans="1:15" x14ac:dyDescent="0.25">
      <c r="A7" t="s">
        <v>18</v>
      </c>
      <c r="C7">
        <v>17</v>
      </c>
      <c r="D7">
        <v>17</v>
      </c>
      <c r="E7">
        <v>14</v>
      </c>
      <c r="F7">
        <v>14</v>
      </c>
      <c r="G7">
        <v>19</v>
      </c>
      <c r="H7">
        <v>31</v>
      </c>
      <c r="I7">
        <v>22</v>
      </c>
      <c r="J7">
        <v>16</v>
      </c>
      <c r="K7">
        <v>8</v>
      </c>
      <c r="L7">
        <v>0</v>
      </c>
      <c r="M7">
        <v>0</v>
      </c>
      <c r="N7">
        <v>100</v>
      </c>
      <c r="O7">
        <v>0</v>
      </c>
    </row>
    <row r="8" spans="1:15" x14ac:dyDescent="0.25">
      <c r="A8" t="s">
        <v>661</v>
      </c>
      <c r="C8">
        <v>2</v>
      </c>
      <c r="D8">
        <v>1</v>
      </c>
      <c r="E8">
        <v>2</v>
      </c>
      <c r="F8">
        <v>2</v>
      </c>
      <c r="G8">
        <v>1</v>
      </c>
      <c r="H8">
        <v>2</v>
      </c>
      <c r="I8">
        <v>2</v>
      </c>
      <c r="J8">
        <v>2</v>
      </c>
      <c r="K8">
        <v>1</v>
      </c>
      <c r="L8">
        <v>0</v>
      </c>
      <c r="M8">
        <v>0</v>
      </c>
      <c r="N8">
        <v>0</v>
      </c>
      <c r="O8">
        <v>18</v>
      </c>
    </row>
    <row r="9" spans="1:15" x14ac:dyDescent="0.25">
      <c r="A9" t="s">
        <v>662</v>
      </c>
      <c r="C9">
        <v>7</v>
      </c>
      <c r="D9">
        <v>6</v>
      </c>
      <c r="E9">
        <v>9</v>
      </c>
      <c r="F9">
        <v>10</v>
      </c>
      <c r="G9">
        <v>4</v>
      </c>
      <c r="H9">
        <v>7</v>
      </c>
      <c r="I9">
        <v>10</v>
      </c>
      <c r="J9">
        <v>5</v>
      </c>
      <c r="K9">
        <v>6</v>
      </c>
      <c r="L9">
        <v>0</v>
      </c>
      <c r="M9">
        <v>0</v>
      </c>
      <c r="N9">
        <v>0</v>
      </c>
      <c r="O9">
        <v>82</v>
      </c>
    </row>
    <row r="11" spans="1:15" x14ac:dyDescent="0.25">
      <c r="A11" t="s">
        <v>671</v>
      </c>
      <c r="C11" t="s">
        <v>663</v>
      </c>
      <c r="D11" t="s">
        <v>683</v>
      </c>
      <c r="E11" t="s">
        <v>673</v>
      </c>
      <c r="F11" t="s">
        <v>674</v>
      </c>
      <c r="G11" t="s">
        <v>675</v>
      </c>
      <c r="H11" t="s">
        <v>667</v>
      </c>
      <c r="I11" t="s">
        <v>668</v>
      </c>
      <c r="J11" t="s">
        <v>669</v>
      </c>
      <c r="K11" t="s">
        <v>676</v>
      </c>
      <c r="L11" t="s">
        <v>677</v>
      </c>
      <c r="M11" t="s">
        <v>678</v>
      </c>
      <c r="N11" t="s">
        <v>679</v>
      </c>
      <c r="O11" t="s">
        <v>662</v>
      </c>
    </row>
    <row r="12" spans="1:15" x14ac:dyDescent="0.25">
      <c r="A12" t="s">
        <v>684</v>
      </c>
      <c r="C12">
        <v>56</v>
      </c>
      <c r="D12">
        <v>58</v>
      </c>
      <c r="E12">
        <v>50</v>
      </c>
      <c r="F12">
        <v>53</v>
      </c>
      <c r="G12">
        <v>59</v>
      </c>
      <c r="H12">
        <v>63</v>
      </c>
      <c r="I12">
        <v>61</v>
      </c>
      <c r="J12">
        <v>57</v>
      </c>
      <c r="K12">
        <v>47</v>
      </c>
      <c r="L12">
        <v>0</v>
      </c>
      <c r="M12">
        <v>100</v>
      </c>
      <c r="N12">
        <v>88</v>
      </c>
      <c r="O12">
        <v>63</v>
      </c>
    </row>
    <row r="13" spans="1:15" x14ac:dyDescent="0.25">
      <c r="A13" t="s">
        <v>685</v>
      </c>
      <c r="C13">
        <v>44</v>
      </c>
      <c r="D13">
        <v>42</v>
      </c>
      <c r="E13">
        <v>50</v>
      </c>
      <c r="F13">
        <v>47</v>
      </c>
      <c r="G13">
        <v>41</v>
      </c>
      <c r="H13">
        <v>37</v>
      </c>
      <c r="I13">
        <v>39</v>
      </c>
      <c r="J13">
        <v>43</v>
      </c>
      <c r="K13">
        <v>53</v>
      </c>
      <c r="L13">
        <v>100</v>
      </c>
      <c r="M13">
        <v>0</v>
      </c>
      <c r="N13">
        <v>12</v>
      </c>
      <c r="O13">
        <v>37</v>
      </c>
    </row>
    <row r="15" spans="1:15" x14ac:dyDescent="0.25">
      <c r="C15" t="s">
        <v>663</v>
      </c>
      <c r="D15" t="s">
        <v>672</v>
      </c>
      <c r="E15" t="s">
        <v>673</v>
      </c>
      <c r="F15" t="s">
        <v>674</v>
      </c>
      <c r="G15" t="s">
        <v>675</v>
      </c>
      <c r="H15" t="s">
        <v>667</v>
      </c>
      <c r="I15" t="s">
        <v>668</v>
      </c>
      <c r="J15" t="s">
        <v>669</v>
      </c>
      <c r="K15" t="s">
        <v>676</v>
      </c>
      <c r="L15" t="s">
        <v>677</v>
      </c>
      <c r="M15" t="s">
        <v>678</v>
      </c>
      <c r="N15" t="s">
        <v>679</v>
      </c>
      <c r="O15" t="s">
        <v>662</v>
      </c>
    </row>
    <row r="16" spans="1:15" x14ac:dyDescent="0.25">
      <c r="A16" t="s">
        <v>680</v>
      </c>
      <c r="C16">
        <v>45</v>
      </c>
      <c r="D16">
        <v>44</v>
      </c>
      <c r="E16">
        <v>47</v>
      </c>
      <c r="F16">
        <v>47</v>
      </c>
      <c r="G16">
        <v>42</v>
      </c>
      <c r="H16">
        <v>35</v>
      </c>
      <c r="I16">
        <v>40</v>
      </c>
      <c r="J16">
        <v>47</v>
      </c>
      <c r="K16">
        <v>51</v>
      </c>
      <c r="L16">
        <v>83</v>
      </c>
      <c r="M16">
        <v>21</v>
      </c>
      <c r="N16">
        <v>18</v>
      </c>
      <c r="O16">
        <v>41</v>
      </c>
    </row>
    <row r="17" spans="1:28" x14ac:dyDescent="0.25">
      <c r="A17" t="s">
        <v>681</v>
      </c>
      <c r="C17">
        <v>36</v>
      </c>
      <c r="D17">
        <v>35</v>
      </c>
      <c r="E17">
        <v>37</v>
      </c>
      <c r="F17">
        <v>36</v>
      </c>
      <c r="G17">
        <v>35</v>
      </c>
      <c r="H17">
        <v>39</v>
      </c>
      <c r="I17">
        <v>36</v>
      </c>
      <c r="J17">
        <v>39</v>
      </c>
      <c r="K17">
        <v>32</v>
      </c>
      <c r="L17">
        <v>7</v>
      </c>
      <c r="M17">
        <v>64</v>
      </c>
      <c r="N17">
        <v>54</v>
      </c>
      <c r="O17">
        <v>29</v>
      </c>
    </row>
    <row r="18" spans="1:28" x14ac:dyDescent="0.25">
      <c r="A18" t="s">
        <v>682</v>
      </c>
      <c r="C18">
        <v>4</v>
      </c>
      <c r="D18">
        <v>5</v>
      </c>
      <c r="E18">
        <v>3</v>
      </c>
      <c r="F18">
        <v>4</v>
      </c>
      <c r="G18">
        <v>4</v>
      </c>
      <c r="H18">
        <v>1</v>
      </c>
      <c r="I18">
        <v>5</v>
      </c>
      <c r="J18">
        <v>5</v>
      </c>
      <c r="K18">
        <v>4</v>
      </c>
      <c r="L18">
        <v>1</v>
      </c>
      <c r="M18">
        <v>4</v>
      </c>
      <c r="N18">
        <v>9</v>
      </c>
      <c r="O18">
        <v>11</v>
      </c>
    </row>
    <row r="19" spans="1:28" x14ac:dyDescent="0.25">
      <c r="A19" t="s">
        <v>686</v>
      </c>
      <c r="C19">
        <v>15</v>
      </c>
      <c r="D19">
        <v>16</v>
      </c>
      <c r="E19">
        <v>13</v>
      </c>
      <c r="F19">
        <v>13</v>
      </c>
      <c r="G19">
        <v>18</v>
      </c>
      <c r="H19">
        <v>26</v>
      </c>
      <c r="I19">
        <v>19</v>
      </c>
      <c r="J19">
        <v>9</v>
      </c>
      <c r="K19">
        <v>13</v>
      </c>
      <c r="L19">
        <v>9</v>
      </c>
      <c r="M19">
        <v>12</v>
      </c>
      <c r="N19">
        <v>19</v>
      </c>
      <c r="O19">
        <v>19</v>
      </c>
    </row>
    <row r="20" spans="1:28" x14ac:dyDescent="0.25">
      <c r="C20">
        <f>(C12-C3)/(100-(C3+C4))</f>
        <v>0.79166666666666663</v>
      </c>
    </row>
    <row r="21" spans="1:28" x14ac:dyDescent="0.25">
      <c r="A21" s="50" t="s">
        <v>703</v>
      </c>
    </row>
    <row r="22" spans="1:28" x14ac:dyDescent="0.25">
      <c r="Q22" t="s">
        <v>698</v>
      </c>
      <c r="U22" t="s">
        <v>3</v>
      </c>
      <c r="V22" t="s">
        <v>136</v>
      </c>
      <c r="X22" t="s">
        <v>3</v>
      </c>
      <c r="Y22" t="s">
        <v>136</v>
      </c>
      <c r="AA22" t="s">
        <v>3</v>
      </c>
      <c r="AB22" t="s">
        <v>136</v>
      </c>
    </row>
    <row r="23" spans="1:28" x14ac:dyDescent="0.25">
      <c r="C23" t="s">
        <v>694</v>
      </c>
      <c r="D23" t="s">
        <v>695</v>
      </c>
      <c r="E23" t="s">
        <v>696</v>
      </c>
      <c r="Q23">
        <v>2006</v>
      </c>
      <c r="R23">
        <v>2010</v>
      </c>
      <c r="S23">
        <v>2014</v>
      </c>
      <c r="U23">
        <v>2006</v>
      </c>
      <c r="X23">
        <v>2010</v>
      </c>
      <c r="AA23">
        <v>2014</v>
      </c>
    </row>
    <row r="24" spans="1:28" x14ac:dyDescent="0.25">
      <c r="A24" t="s">
        <v>687</v>
      </c>
      <c r="C24">
        <v>24</v>
      </c>
      <c r="D24">
        <v>53</v>
      </c>
      <c r="E24">
        <v>33</v>
      </c>
      <c r="Q24">
        <v>79</v>
      </c>
      <c r="R24">
        <v>86</v>
      </c>
      <c r="S24">
        <v>83</v>
      </c>
      <c r="U24">
        <v>46</v>
      </c>
      <c r="V24">
        <v>32</v>
      </c>
      <c r="X24">
        <v>43</v>
      </c>
      <c r="Y24">
        <v>41</v>
      </c>
      <c r="AA24">
        <v>48</v>
      </c>
      <c r="AB24">
        <v>31</v>
      </c>
    </row>
    <row r="25" spans="1:28" x14ac:dyDescent="0.25">
      <c r="A25" t="s">
        <v>688</v>
      </c>
      <c r="C25">
        <v>19</v>
      </c>
      <c r="D25">
        <v>56</v>
      </c>
      <c r="E25">
        <v>32</v>
      </c>
      <c r="Q25">
        <v>71</v>
      </c>
      <c r="R25">
        <v>73</v>
      </c>
      <c r="S25">
        <v>78</v>
      </c>
      <c r="U25">
        <v>51</v>
      </c>
      <c r="V25">
        <v>27</v>
      </c>
      <c r="X25">
        <v>47</v>
      </c>
      <c r="Y25">
        <v>37</v>
      </c>
      <c r="AA25">
        <v>53</v>
      </c>
      <c r="AB25">
        <v>26</v>
      </c>
    </row>
    <row r="26" spans="1:28" x14ac:dyDescent="0.25">
      <c r="A26" t="s">
        <v>689</v>
      </c>
      <c r="C26">
        <v>18</v>
      </c>
      <c r="D26">
        <v>48</v>
      </c>
      <c r="E26">
        <v>37</v>
      </c>
    </row>
    <row r="27" spans="1:28" x14ac:dyDescent="0.25">
      <c r="A27" t="s">
        <v>690</v>
      </c>
      <c r="C27">
        <v>11</v>
      </c>
      <c r="D27">
        <v>29</v>
      </c>
      <c r="E27">
        <v>56</v>
      </c>
    </row>
    <row r="28" spans="1:28" x14ac:dyDescent="0.25">
      <c r="A28" t="s">
        <v>700</v>
      </c>
      <c r="C28">
        <v>10</v>
      </c>
      <c r="D28">
        <v>49</v>
      </c>
      <c r="E28">
        <v>37</v>
      </c>
      <c r="Q28">
        <v>54</v>
      </c>
      <c r="R28">
        <v>64</v>
      </c>
      <c r="S28">
        <v>67</v>
      </c>
      <c r="U28">
        <v>41</v>
      </c>
      <c r="V28">
        <v>34</v>
      </c>
      <c r="X28">
        <v>35</v>
      </c>
      <c r="Y28">
        <v>45</v>
      </c>
      <c r="AA28">
        <v>40</v>
      </c>
      <c r="AB28">
        <v>38</v>
      </c>
    </row>
    <row r="29" spans="1:28" x14ac:dyDescent="0.25">
      <c r="A29" t="s">
        <v>691</v>
      </c>
      <c r="C29">
        <v>7</v>
      </c>
      <c r="D29">
        <v>34</v>
      </c>
      <c r="E29">
        <v>50</v>
      </c>
      <c r="Q29">
        <v>57</v>
      </c>
      <c r="R29">
        <v>68</v>
      </c>
      <c r="S29">
        <v>63</v>
      </c>
      <c r="U29">
        <v>42</v>
      </c>
      <c r="V29">
        <v>35</v>
      </c>
      <c r="X29">
        <v>35</v>
      </c>
      <c r="Y29">
        <v>47</v>
      </c>
      <c r="AA29">
        <v>30</v>
      </c>
      <c r="AB29">
        <v>45</v>
      </c>
    </row>
    <row r="30" spans="1:28" x14ac:dyDescent="0.25">
      <c r="A30" t="s">
        <v>692</v>
      </c>
      <c r="C30">
        <v>6</v>
      </c>
      <c r="D30">
        <v>56</v>
      </c>
      <c r="E30">
        <v>28</v>
      </c>
      <c r="Q30">
        <v>68</v>
      </c>
      <c r="R30">
        <v>49</v>
      </c>
      <c r="S30">
        <v>51</v>
      </c>
      <c r="U30">
        <v>34</v>
      </c>
      <c r="V30">
        <v>26</v>
      </c>
      <c r="X30">
        <v>28</v>
      </c>
      <c r="Y30">
        <v>27</v>
      </c>
      <c r="AA30">
        <v>33</v>
      </c>
      <c r="AB30">
        <v>22</v>
      </c>
    </row>
    <row r="31" spans="1:28" x14ac:dyDescent="0.25">
      <c r="A31" t="s">
        <v>693</v>
      </c>
      <c r="C31">
        <v>5</v>
      </c>
      <c r="D31">
        <v>36</v>
      </c>
      <c r="E31">
        <v>50</v>
      </c>
    </row>
    <row r="32" spans="1:28" x14ac:dyDescent="0.25">
      <c r="A32" t="s">
        <v>699</v>
      </c>
      <c r="Q32">
        <v>62</v>
      </c>
      <c r="R32">
        <v>64</v>
      </c>
      <c r="S32">
        <v>70</v>
      </c>
      <c r="U32">
        <v>39</v>
      </c>
      <c r="V32">
        <v>40</v>
      </c>
      <c r="X32">
        <v>40</v>
      </c>
      <c r="Y32">
        <v>46</v>
      </c>
      <c r="AA32">
        <v>31</v>
      </c>
      <c r="AB32">
        <v>49</v>
      </c>
    </row>
    <row r="33" spans="1:28" x14ac:dyDescent="0.25">
      <c r="A33" t="s">
        <v>701</v>
      </c>
      <c r="R33">
        <v>34</v>
      </c>
      <c r="S33">
        <v>42</v>
      </c>
      <c r="X33">
        <v>29</v>
      </c>
      <c r="Y33">
        <v>28</v>
      </c>
      <c r="AA33">
        <v>34</v>
      </c>
      <c r="AB33">
        <v>20</v>
      </c>
    </row>
    <row r="34" spans="1:28" x14ac:dyDescent="0.25">
      <c r="A34" t="s">
        <v>702</v>
      </c>
      <c r="Q34">
        <v>87</v>
      </c>
      <c r="R34">
        <v>65</v>
      </c>
      <c r="S34">
        <v>41</v>
      </c>
      <c r="U34">
        <v>38</v>
      </c>
      <c r="V34">
        <v>32</v>
      </c>
      <c r="X34">
        <v>35</v>
      </c>
      <c r="Y34">
        <v>36</v>
      </c>
      <c r="AA34">
        <v>31</v>
      </c>
      <c r="AB34">
        <v>33</v>
      </c>
    </row>
    <row r="36" spans="1:28" x14ac:dyDescent="0.25">
      <c r="C36" t="s">
        <v>712</v>
      </c>
      <c r="D36" t="s">
        <v>713</v>
      </c>
    </row>
    <row r="37" spans="1:28" x14ac:dyDescent="0.25">
      <c r="A37" t="s">
        <v>704</v>
      </c>
      <c r="C37">
        <v>75</v>
      </c>
      <c r="D37">
        <v>68</v>
      </c>
    </row>
    <row r="38" spans="1:28" x14ac:dyDescent="0.25">
      <c r="A38" t="s">
        <v>705</v>
      </c>
      <c r="C38">
        <v>50</v>
      </c>
      <c r="D38">
        <v>44</v>
      </c>
    </row>
    <row r="39" spans="1:28" x14ac:dyDescent="0.25">
      <c r="A39" t="s">
        <v>706</v>
      </c>
      <c r="C39">
        <v>76</v>
      </c>
      <c r="D39">
        <v>61</v>
      </c>
    </row>
    <row r="40" spans="1:28" x14ac:dyDescent="0.25">
      <c r="A40" t="s">
        <v>707</v>
      </c>
      <c r="C40">
        <v>78</v>
      </c>
      <c r="D40">
        <v>70</v>
      </c>
    </row>
    <row r="41" spans="1:28" x14ac:dyDescent="0.25">
      <c r="A41" t="s">
        <v>708</v>
      </c>
      <c r="C41">
        <v>71</v>
      </c>
      <c r="D41">
        <v>64</v>
      </c>
    </row>
    <row r="42" spans="1:28" x14ac:dyDescent="0.25">
      <c r="A42" t="s">
        <v>709</v>
      </c>
      <c r="C42">
        <v>67</v>
      </c>
      <c r="D42">
        <v>62</v>
      </c>
    </row>
    <row r="43" spans="1:28" x14ac:dyDescent="0.25">
      <c r="A43" t="s">
        <v>710</v>
      </c>
      <c r="C43">
        <v>63</v>
      </c>
      <c r="D43">
        <v>62</v>
      </c>
    </row>
    <row r="44" spans="1:28" x14ac:dyDescent="0.25">
      <c r="A44" t="s">
        <v>711</v>
      </c>
      <c r="C44">
        <v>83</v>
      </c>
      <c r="D44">
        <v>58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75"/>
  <sheetViews>
    <sheetView workbookViewId="0">
      <pane xSplit="4" ySplit="2" topLeftCell="BF69" activePane="bottomRight" state="frozen"/>
      <selection pane="topRight" activeCell="E1" sqref="E1"/>
      <selection pane="bottomLeft" activeCell="A3" sqref="A3"/>
      <selection pane="bottomRight" activeCell="BF89" sqref="BF89"/>
    </sheetView>
  </sheetViews>
  <sheetFormatPr defaultRowHeight="15" x14ac:dyDescent="0.25"/>
  <cols>
    <col min="1" max="1" width="21.7109375" bestFit="1" customWidth="1"/>
    <col min="2" max="2" width="21.7109375" customWidth="1"/>
    <col min="3" max="3" width="12.42578125" bestFit="1" customWidth="1"/>
    <col min="10" max="10" width="19.5703125" bestFit="1" customWidth="1"/>
    <col min="11" max="11" width="28" bestFit="1" customWidth="1"/>
    <col min="12" max="12" width="21.7109375" bestFit="1" customWidth="1"/>
    <col min="13" max="13" width="12.5703125" bestFit="1" customWidth="1"/>
    <col min="15" max="15" width="23.42578125" bestFit="1" customWidth="1"/>
    <col min="16" max="16" width="14.140625" bestFit="1" customWidth="1"/>
    <col min="17" max="17" width="21.85546875" bestFit="1" customWidth="1"/>
    <col min="18" max="18" width="29.140625" bestFit="1" customWidth="1"/>
    <col min="19" max="19" width="19.85546875" bestFit="1" customWidth="1"/>
    <col min="20" max="20" width="19.140625" bestFit="1" customWidth="1"/>
    <col min="21" max="21" width="20.85546875" bestFit="1" customWidth="1"/>
    <col min="22" max="22" width="16.5703125" bestFit="1" customWidth="1"/>
    <col min="23" max="23" width="20" bestFit="1" customWidth="1"/>
    <col min="24" max="26" width="20" customWidth="1"/>
    <col min="28" max="28" width="19.28515625" bestFit="1" customWidth="1"/>
    <col min="29" max="29" width="20" bestFit="1" customWidth="1"/>
    <col min="30" max="30" width="22.7109375" bestFit="1" customWidth="1"/>
    <col min="69" max="69" width="18.85546875" bestFit="1" customWidth="1"/>
    <col min="79" max="79" width="24.28515625" bestFit="1" customWidth="1"/>
    <col min="80" max="80" width="26.28515625" bestFit="1" customWidth="1"/>
    <col min="81" max="81" width="23.42578125" bestFit="1" customWidth="1"/>
  </cols>
  <sheetData>
    <row r="1" spans="1:112" x14ac:dyDescent="0.25">
      <c r="J1" t="s">
        <v>660</v>
      </c>
      <c r="O1" t="s">
        <v>659</v>
      </c>
      <c r="AB1" t="s">
        <v>658</v>
      </c>
      <c r="BA1" t="s">
        <v>657</v>
      </c>
      <c r="BD1" t="s">
        <v>656</v>
      </c>
      <c r="CT1" s="59" t="s">
        <v>655</v>
      </c>
    </row>
    <row r="2" spans="1:112" x14ac:dyDescent="0.25">
      <c r="D2" t="s">
        <v>654</v>
      </c>
      <c r="F2" t="s">
        <v>653</v>
      </c>
      <c r="G2" t="s">
        <v>652</v>
      </c>
      <c r="J2" t="s">
        <v>650</v>
      </c>
      <c r="K2" t="s">
        <v>649</v>
      </c>
      <c r="L2" t="s">
        <v>17</v>
      </c>
      <c r="M2" t="s">
        <v>641</v>
      </c>
      <c r="O2" t="s">
        <v>650</v>
      </c>
      <c r="P2" t="s">
        <v>649</v>
      </c>
      <c r="Q2" t="s">
        <v>17</v>
      </c>
      <c r="R2" t="s">
        <v>18</v>
      </c>
      <c r="S2" t="s">
        <v>641</v>
      </c>
      <c r="T2" t="s">
        <v>641</v>
      </c>
      <c r="U2" t="s">
        <v>640</v>
      </c>
      <c r="V2" t="s">
        <v>639</v>
      </c>
      <c r="W2" t="s">
        <v>638</v>
      </c>
      <c r="X2" t="s">
        <v>637</v>
      </c>
      <c r="Y2" t="s">
        <v>651</v>
      </c>
      <c r="Z2" t="s">
        <v>635</v>
      </c>
      <c r="AB2" t="s">
        <v>650</v>
      </c>
      <c r="AC2" t="s">
        <v>649</v>
      </c>
      <c r="AD2" t="s">
        <v>17</v>
      </c>
      <c r="AH2">
        <v>1988</v>
      </c>
      <c r="AI2">
        <v>1992</v>
      </c>
      <c r="AJ2">
        <v>1996</v>
      </c>
      <c r="AK2">
        <v>1999</v>
      </c>
      <c r="AL2" t="s">
        <v>647</v>
      </c>
      <c r="AM2">
        <v>2002</v>
      </c>
      <c r="AN2">
        <v>2006</v>
      </c>
      <c r="AO2">
        <v>2010</v>
      </c>
      <c r="AP2" t="s">
        <v>648</v>
      </c>
      <c r="AR2">
        <v>1988</v>
      </c>
      <c r="AS2">
        <v>1992</v>
      </c>
      <c r="AT2">
        <v>1996</v>
      </c>
      <c r="AU2">
        <v>1999</v>
      </c>
      <c r="AV2" t="s">
        <v>647</v>
      </c>
      <c r="AW2">
        <v>2002</v>
      </c>
      <c r="AX2">
        <v>2006</v>
      </c>
      <c r="AY2">
        <v>2010</v>
      </c>
      <c r="BA2" t="s">
        <v>136</v>
      </c>
      <c r="BB2" t="s">
        <v>3</v>
      </c>
      <c r="BD2" t="s">
        <v>136</v>
      </c>
      <c r="BE2" t="s">
        <v>3</v>
      </c>
      <c r="BF2" t="s">
        <v>567</v>
      </c>
      <c r="BH2" t="s">
        <v>646</v>
      </c>
      <c r="BI2" t="s">
        <v>645</v>
      </c>
      <c r="BJ2" t="s">
        <v>644</v>
      </c>
      <c r="BL2" t="s">
        <v>643</v>
      </c>
      <c r="BN2" t="s">
        <v>642</v>
      </c>
      <c r="CI2" t="s">
        <v>641</v>
      </c>
      <c r="CJ2" t="s">
        <v>641</v>
      </c>
      <c r="CK2" t="s">
        <v>640</v>
      </c>
      <c r="CL2" t="s">
        <v>639</v>
      </c>
      <c r="CM2" t="s">
        <v>638</v>
      </c>
      <c r="CN2" t="s">
        <v>637</v>
      </c>
      <c r="CO2" t="s">
        <v>636</v>
      </c>
      <c r="CP2" t="s">
        <v>635</v>
      </c>
      <c r="CT2" s="58" t="s">
        <v>634</v>
      </c>
      <c r="CU2" s="58" t="s">
        <v>633</v>
      </c>
      <c r="CV2" s="58" t="s">
        <v>632</v>
      </c>
      <c r="CW2" s="58" t="s">
        <v>631</v>
      </c>
      <c r="CX2" s="58" t="s">
        <v>630</v>
      </c>
      <c r="CY2" s="58" t="s">
        <v>629</v>
      </c>
      <c r="CZ2" s="57" t="s">
        <v>628</v>
      </c>
      <c r="DC2" t="s">
        <v>627</v>
      </c>
      <c r="DD2" s="31">
        <f>Database!BL12</f>
        <v>3.3394200000000041E-2</v>
      </c>
      <c r="DE2" s="56">
        <f>(0.131*SQRT(DD2*DD2))+0.019</f>
        <v>2.3374640200000005E-2</v>
      </c>
    </row>
    <row r="3" spans="1:112" s="34" customFormat="1" x14ac:dyDescent="0.25">
      <c r="A3" s="34" t="s">
        <v>623</v>
      </c>
      <c r="B3" s="36" t="s">
        <v>106</v>
      </c>
      <c r="C3" s="34" t="s">
        <v>3</v>
      </c>
      <c r="D3" s="36">
        <v>0.50900000000000001</v>
      </c>
      <c r="E3" s="42">
        <f t="shared" ref="E3:E34" si="0">1-D3</f>
        <v>0.49099999999999999</v>
      </c>
      <c r="F3" s="36">
        <v>0.52055792912792154</v>
      </c>
      <c r="G3" s="36">
        <f t="shared" ref="G3:G14" si="1">D3-F3</f>
        <v>-1.1557929127921529E-2</v>
      </c>
      <c r="H3" s="42">
        <f t="shared" ref="H3:H14" si="2">0-G3</f>
        <v>1.1557929127921529E-2</v>
      </c>
      <c r="J3" s="34" t="s">
        <v>129</v>
      </c>
      <c r="L3" s="34" t="s">
        <v>626</v>
      </c>
      <c r="O3" s="34" t="s">
        <v>625</v>
      </c>
      <c r="R3" s="34" t="s">
        <v>624</v>
      </c>
      <c r="AH3" s="36">
        <v>0.60399999999999998</v>
      </c>
      <c r="AI3" s="36">
        <v>0.55681244318755685</v>
      </c>
      <c r="AJ3" s="36">
        <v>0.58706679221213132</v>
      </c>
      <c r="AK3" s="36">
        <v>0.56424498039681592</v>
      </c>
      <c r="AL3" s="36">
        <v>0.56600000000000006</v>
      </c>
      <c r="AM3" s="36">
        <v>0.62503749925001495</v>
      </c>
      <c r="AN3" s="36">
        <v>0.59686328938237332</v>
      </c>
      <c r="AO3" s="36">
        <v>0.52055792912792154</v>
      </c>
      <c r="AP3" s="36">
        <f t="shared" ref="AP3:AP34" si="3">AO3-AN3</f>
        <v>-7.6305360254451782E-2</v>
      </c>
      <c r="AQ3" s="36"/>
      <c r="AR3" s="36">
        <f t="shared" ref="AR3:AY4" si="4">1-AH3</f>
        <v>0.39600000000000002</v>
      </c>
      <c r="AS3" s="36">
        <f t="shared" si="4"/>
        <v>0.44318755681244315</v>
      </c>
      <c r="AT3" s="36">
        <f t="shared" si="4"/>
        <v>0.41293320778786868</v>
      </c>
      <c r="AU3" s="36">
        <f t="shared" si="4"/>
        <v>0.43575501960318408</v>
      </c>
      <c r="AV3" s="36">
        <f t="shared" si="4"/>
        <v>0.43399999999999994</v>
      </c>
      <c r="AW3" s="36">
        <f t="shared" si="4"/>
        <v>0.37496250074998505</v>
      </c>
      <c r="AX3" s="36">
        <f t="shared" si="4"/>
        <v>0.40313671061762668</v>
      </c>
      <c r="AY3" s="36">
        <f t="shared" si="4"/>
        <v>0.47944207087207846</v>
      </c>
      <c r="BA3" s="36">
        <f t="shared" ref="BA3:BA34" si="5">1-BB3</f>
        <v>0.49099999999999999</v>
      </c>
      <c r="BB3" s="36">
        <v>0.50900000000000001</v>
      </c>
      <c r="BD3" s="43">
        <f t="shared" ref="BD3:BD34" si="6">1-BE3</f>
        <v>0.45577966546494264</v>
      </c>
      <c r="BE3" s="36">
        <v>0.54422033453505736</v>
      </c>
      <c r="BF3" s="36"/>
      <c r="BH3" s="36">
        <v>0.71799999999999997</v>
      </c>
      <c r="BI3" s="36">
        <v>0.23899999999999999</v>
      </c>
      <c r="BJ3" s="36">
        <v>0.30600000000000005</v>
      </c>
      <c r="BL3" s="41">
        <v>2392.87</v>
      </c>
      <c r="BN3" s="40">
        <v>36.314</v>
      </c>
      <c r="BQ3" s="34" t="s">
        <v>623</v>
      </c>
      <c r="BR3" s="34" t="s">
        <v>67</v>
      </c>
      <c r="BS3" s="39">
        <v>1</v>
      </c>
      <c r="CA3"/>
      <c r="CB3"/>
      <c r="CC3"/>
      <c r="CD3"/>
      <c r="CE3"/>
      <c r="CR3" s="34" t="s">
        <v>3</v>
      </c>
      <c r="CS3" s="34" t="s">
        <v>131</v>
      </c>
      <c r="CT3" s="34">
        <f t="shared" ref="CT3:CT34" si="7">IF(CS3="ALPVAC",1,IF(CS3="LIBVAC",1,IF(CS3="NATVAC",1,0)))</f>
        <v>0</v>
      </c>
      <c r="CU3" s="34">
        <f t="shared" ref="CU3:CU34" si="8">IF(CS3="ALPSOPWIN",1,IF(CS3="LIBSOPWIN",1,IF(CS3="NATSOPWIN",1,0)))</f>
        <v>0</v>
      </c>
      <c r="CV3" s="34">
        <f t="shared" ref="CV3:CV34" si="9">IF(CS3="ALPSOPVAC",1,IF(CS3="LIBSOPVAC",1,IF(CS3="NATSOPVAC",1,0)))</f>
        <v>0</v>
      </c>
      <c r="CW3" s="34">
        <f t="shared" ref="CW3:CW34" si="10">IF(CV3=1,IF(B3="Eastern Victoria",1,IF(B3="Western Victoria",1,IF(B3="Northern Victoria",1,0))),0)</f>
        <v>0</v>
      </c>
      <c r="CX3" s="38">
        <f t="shared" ref="CX3:CX34" si="11">(-0.01*CT3)+(0.009*CU3)+(0.005*CV3)+(0.008*CW3)</f>
        <v>0</v>
      </c>
      <c r="CY3" s="36">
        <f>IF(CR3="ALP",D3+CX3+$DD$2,D3-CX3+$DD$2)</f>
        <v>0.54239420000000005</v>
      </c>
      <c r="CZ3" s="37">
        <f t="shared" ref="CZ3:CZ34" si="12">(1-(NORMDIST(0.5,CY3,DE$2,1)))</f>
        <v>0.96513676908195556</v>
      </c>
      <c r="DA3" s="34" t="str">
        <f>IF(D3&lt;0.5,IF(CZ3&gt;0.5,"ALP GAIN",""),"")</f>
        <v/>
      </c>
    </row>
    <row r="4" spans="1:112" s="34" customFormat="1" x14ac:dyDescent="0.25">
      <c r="A4" s="34" t="s">
        <v>614</v>
      </c>
      <c r="B4" s="36" t="s">
        <v>141</v>
      </c>
      <c r="C4" s="34" t="s">
        <v>3</v>
      </c>
      <c r="D4" s="36">
        <v>0.624</v>
      </c>
      <c r="E4" s="42">
        <f t="shared" si="0"/>
        <v>0.376</v>
      </c>
      <c r="F4" s="36">
        <v>0.61964757905028556</v>
      </c>
      <c r="G4" s="36">
        <f t="shared" si="1"/>
        <v>4.3524209497144417E-3</v>
      </c>
      <c r="H4" s="42">
        <f t="shared" si="2"/>
        <v>-4.3524209497144417E-3</v>
      </c>
      <c r="J4" s="34" t="s">
        <v>129</v>
      </c>
      <c r="L4" s="34" t="s">
        <v>622</v>
      </c>
      <c r="O4" s="34" t="s">
        <v>621</v>
      </c>
      <c r="R4" s="34" t="s">
        <v>620</v>
      </c>
      <c r="AH4" s="36">
        <v>0.64800000000000002</v>
      </c>
      <c r="AI4" s="36">
        <v>0.60731962859929911</v>
      </c>
      <c r="AJ4" s="36">
        <v>0.58135876511650775</v>
      </c>
      <c r="AK4" s="36">
        <v>0.64662805006152646</v>
      </c>
      <c r="AL4" s="36">
        <v>0.65</v>
      </c>
      <c r="AM4" s="36">
        <v>0.74692607003891054</v>
      </c>
      <c r="AN4" s="36">
        <v>0.70214151942024261</v>
      </c>
      <c r="AO4" s="36">
        <v>0.61964757905028556</v>
      </c>
      <c r="AP4" s="36">
        <f t="shared" si="3"/>
        <v>-8.2493940369957053E-2</v>
      </c>
      <c r="AQ4" s="36"/>
      <c r="AR4" s="36">
        <f t="shared" si="4"/>
        <v>0.35199999999999998</v>
      </c>
      <c r="AS4" s="36">
        <f t="shared" si="4"/>
        <v>0.39268037140070089</v>
      </c>
      <c r="AT4" s="36">
        <f t="shared" si="4"/>
        <v>0.41864123488349225</v>
      </c>
      <c r="AU4" s="36">
        <f t="shared" si="4"/>
        <v>0.35337194993847354</v>
      </c>
      <c r="AV4" s="36">
        <f t="shared" si="4"/>
        <v>0.35</v>
      </c>
      <c r="AW4" s="36">
        <f t="shared" si="4"/>
        <v>0.25307392996108946</v>
      </c>
      <c r="AX4" s="36">
        <f t="shared" si="4"/>
        <v>0.29785848057975739</v>
      </c>
      <c r="AY4" s="36">
        <f t="shared" si="4"/>
        <v>0.38035242094971444</v>
      </c>
      <c r="BA4" s="36">
        <f t="shared" si="5"/>
        <v>0.376</v>
      </c>
      <c r="BB4" s="36">
        <v>0.624</v>
      </c>
      <c r="BD4" s="36">
        <f t="shared" si="6"/>
        <v>0.37775978157878665</v>
      </c>
      <c r="BE4" s="36">
        <v>0.62224021842121335</v>
      </c>
      <c r="BF4" s="36"/>
      <c r="BH4" s="36">
        <v>0.58299999999999996</v>
      </c>
      <c r="BI4" s="36">
        <v>0.44500000000000001</v>
      </c>
      <c r="BJ4" s="36">
        <v>0.38600000000000001</v>
      </c>
      <c r="BL4" s="41">
        <v>1705.91</v>
      </c>
      <c r="BN4" s="40">
        <v>34.893999999999998</v>
      </c>
      <c r="BQ4" s="34" t="s">
        <v>614</v>
      </c>
      <c r="BR4" s="34" t="s">
        <v>30</v>
      </c>
      <c r="BS4" s="39">
        <v>0.6436289302053928</v>
      </c>
      <c r="CA4"/>
      <c r="CB4"/>
      <c r="CC4"/>
      <c r="CD4"/>
      <c r="CE4"/>
      <c r="CR4" s="34" t="s">
        <v>3</v>
      </c>
      <c r="CS4" s="34" t="s">
        <v>131</v>
      </c>
      <c r="CT4" s="34">
        <f t="shared" si="7"/>
        <v>0</v>
      </c>
      <c r="CU4" s="34">
        <f t="shared" si="8"/>
        <v>0</v>
      </c>
      <c r="CV4" s="34">
        <f t="shared" si="9"/>
        <v>0</v>
      </c>
      <c r="CW4" s="34">
        <f t="shared" si="10"/>
        <v>0</v>
      </c>
      <c r="CX4" s="38">
        <f t="shared" si="11"/>
        <v>0</v>
      </c>
      <c r="CY4" s="36">
        <f t="shared" ref="CY4:CY67" si="13">IF(CR4="ALP",D4+CX4+$DD$2,D4-CX4+$DD$2)</f>
        <v>0.65739420000000004</v>
      </c>
      <c r="CZ4" s="37">
        <f t="shared" si="12"/>
        <v>0.99999999999172107</v>
      </c>
      <c r="DA4" s="34" t="str">
        <f t="shared" ref="DA4:DA67" si="14">IF(D4&lt;0.5,IF(CZ4&gt;0.5,"ALP GAIN",""),"")</f>
        <v/>
      </c>
      <c r="DG4" s="70" t="s">
        <v>451</v>
      </c>
      <c r="DH4" s="39">
        <f>1-CZ18</f>
        <v>1.7293820934170534E-2</v>
      </c>
    </row>
    <row r="5" spans="1:112" s="34" customFormat="1" x14ac:dyDescent="0.25">
      <c r="A5" s="34" t="s">
        <v>600</v>
      </c>
      <c r="B5" s="36" t="s">
        <v>101</v>
      </c>
      <c r="C5" s="34" t="s">
        <v>136</v>
      </c>
      <c r="D5" s="36">
        <v>0.376</v>
      </c>
      <c r="E5" s="52">
        <f t="shared" si="0"/>
        <v>0.624</v>
      </c>
      <c r="F5" s="36">
        <v>0.3741418506763905</v>
      </c>
      <c r="G5" s="36">
        <f t="shared" si="1"/>
        <v>1.8581493236095037E-3</v>
      </c>
      <c r="H5" s="42">
        <f t="shared" si="2"/>
        <v>-1.8581493236095037E-3</v>
      </c>
      <c r="L5" s="34" t="s">
        <v>129</v>
      </c>
      <c r="O5" s="34" t="s">
        <v>619</v>
      </c>
      <c r="Q5" s="34" t="s">
        <v>618</v>
      </c>
      <c r="R5" s="34" t="s">
        <v>617</v>
      </c>
      <c r="S5" s="34" t="s">
        <v>612</v>
      </c>
      <c r="AB5" s="34" t="s">
        <v>616</v>
      </c>
      <c r="AG5" s="34" t="s">
        <v>615</v>
      </c>
      <c r="AH5" s="36">
        <v>0.376</v>
      </c>
      <c r="AI5" s="36">
        <v>0.32075266478137915</v>
      </c>
      <c r="AJ5" s="36">
        <v>0.37335150792298516</v>
      </c>
      <c r="AK5" s="36">
        <v>0.43569683765762196</v>
      </c>
      <c r="AL5" s="36" t="s">
        <v>356</v>
      </c>
      <c r="AM5" s="36">
        <v>0.49362918764373176</v>
      </c>
      <c r="AN5" s="36">
        <v>0.44476094727435211</v>
      </c>
      <c r="AO5" s="36">
        <v>0.3741418506763905</v>
      </c>
      <c r="AP5" s="36">
        <f t="shared" si="3"/>
        <v>-7.0619096597961617E-2</v>
      </c>
      <c r="AQ5" s="36"/>
      <c r="AR5" s="36">
        <f t="shared" ref="AR5:AR38" si="15">1-AH5</f>
        <v>0.624</v>
      </c>
      <c r="AS5" s="36">
        <f t="shared" ref="AS5:AS38" si="16">1-AI5</f>
        <v>0.6792473352186208</v>
      </c>
      <c r="AT5" s="36">
        <f t="shared" ref="AT5:AT38" si="17">1-AJ5</f>
        <v>0.62664849207701478</v>
      </c>
      <c r="AU5" s="36">
        <f t="shared" ref="AU5:AU38" si="18">1-AK5</f>
        <v>0.56430316234237798</v>
      </c>
      <c r="AV5" s="36" t="s">
        <v>356</v>
      </c>
      <c r="AW5" s="36">
        <f t="shared" ref="AW5:AW36" si="19">1-AM5</f>
        <v>0.50637081235626824</v>
      </c>
      <c r="AX5" s="36">
        <f t="shared" ref="AX5:AX36" si="20">1-AN5</f>
        <v>0.55523905272564789</v>
      </c>
      <c r="AY5" s="36">
        <f t="shared" ref="AY5:AY36" si="21">1-AO5</f>
        <v>0.6258581493236095</v>
      </c>
      <c r="BA5" s="36">
        <f t="shared" si="5"/>
        <v>0.624</v>
      </c>
      <c r="BB5" s="36">
        <v>0.376</v>
      </c>
      <c r="BD5" s="36">
        <f t="shared" si="6"/>
        <v>0.60060540423122455</v>
      </c>
      <c r="BE5" s="36">
        <v>0.3993945957687754</v>
      </c>
      <c r="BF5" s="36"/>
      <c r="BH5" s="36">
        <v>0.378</v>
      </c>
      <c r="BI5" s="36">
        <v>0.371</v>
      </c>
      <c r="BJ5" s="36">
        <v>0.12</v>
      </c>
      <c r="BL5" s="41">
        <v>1251.68</v>
      </c>
      <c r="BN5" s="40">
        <v>40.464199999999998</v>
      </c>
      <c r="BQ5" s="34" t="s">
        <v>614</v>
      </c>
      <c r="BR5" s="34" t="s">
        <v>28</v>
      </c>
      <c r="BS5" s="39">
        <v>0.3563710697946072</v>
      </c>
      <c r="CA5" t="s">
        <v>613</v>
      </c>
      <c r="CB5"/>
      <c r="CC5"/>
      <c r="CD5"/>
      <c r="CE5"/>
      <c r="CI5" s="34" t="s">
        <v>612</v>
      </c>
      <c r="CR5" s="34" t="s">
        <v>136</v>
      </c>
      <c r="CS5" s="34" t="s">
        <v>410</v>
      </c>
      <c r="CT5" s="34">
        <f t="shared" si="7"/>
        <v>1</v>
      </c>
      <c r="CU5" s="34">
        <f t="shared" si="8"/>
        <v>0</v>
      </c>
      <c r="CV5" s="34">
        <f t="shared" si="9"/>
        <v>0</v>
      </c>
      <c r="CW5" s="34">
        <f t="shared" si="10"/>
        <v>0</v>
      </c>
      <c r="CX5" s="38">
        <f t="shared" si="11"/>
        <v>-0.01</v>
      </c>
      <c r="CY5" s="36">
        <f t="shared" si="13"/>
        <v>0.41939420000000005</v>
      </c>
      <c r="CZ5" s="37">
        <f t="shared" si="12"/>
        <v>2.8192826963435724E-4</v>
      </c>
      <c r="DA5" s="34" t="str">
        <f t="shared" si="14"/>
        <v/>
      </c>
      <c r="DG5" s="70" t="s">
        <v>379</v>
      </c>
      <c r="DH5" s="39">
        <f>1-CZ23</f>
        <v>2.876604682426831E-2</v>
      </c>
    </row>
    <row r="6" spans="1:112" s="34" customFormat="1" x14ac:dyDescent="0.25">
      <c r="A6" s="34" t="s">
        <v>580</v>
      </c>
      <c r="B6" s="36" t="s">
        <v>94</v>
      </c>
      <c r="C6" s="34" t="s">
        <v>136</v>
      </c>
      <c r="D6" s="36">
        <v>0.43200000000000005</v>
      </c>
      <c r="E6" s="52">
        <f t="shared" si="0"/>
        <v>0.56799999999999995</v>
      </c>
      <c r="F6" s="36">
        <v>0.39427233429394815</v>
      </c>
      <c r="G6" s="36">
        <f t="shared" si="1"/>
        <v>3.7727665706051905E-2</v>
      </c>
      <c r="H6" s="42">
        <f t="shared" si="2"/>
        <v>-3.7727665706051905E-2</v>
      </c>
      <c r="J6" s="34" t="s">
        <v>611</v>
      </c>
      <c r="L6" s="34" t="s">
        <v>129</v>
      </c>
      <c r="Q6" s="34" t="s">
        <v>610</v>
      </c>
      <c r="R6" s="34" t="s">
        <v>609</v>
      </c>
      <c r="U6" s="51" t="s">
        <v>607</v>
      </c>
      <c r="AH6" s="36">
        <v>0.53</v>
      </c>
      <c r="AI6" s="36">
        <v>0.42787168651555896</v>
      </c>
      <c r="AJ6" s="36">
        <v>0.42493255536733798</v>
      </c>
      <c r="AK6" s="36">
        <v>0.45304706137497291</v>
      </c>
      <c r="AL6" s="36">
        <v>0.436</v>
      </c>
      <c r="AM6" s="36">
        <v>0.52737050835236154</v>
      </c>
      <c r="AN6" s="36">
        <v>0.47107309001217645</v>
      </c>
      <c r="AO6" s="36">
        <v>0.39427233429394815</v>
      </c>
      <c r="AP6" s="36">
        <f t="shared" si="3"/>
        <v>-7.6800755718228308E-2</v>
      </c>
      <c r="AQ6" s="36"/>
      <c r="AR6" s="36">
        <f t="shared" si="15"/>
        <v>0.47</v>
      </c>
      <c r="AS6" s="36">
        <f t="shared" si="16"/>
        <v>0.57212831348444104</v>
      </c>
      <c r="AT6" s="36">
        <f t="shared" si="17"/>
        <v>0.57506744463266202</v>
      </c>
      <c r="AU6" s="36">
        <f t="shared" si="18"/>
        <v>0.54695293862502714</v>
      </c>
      <c r="AV6" s="36">
        <f t="shared" ref="AV6:AV36" si="22">1-AL6</f>
        <v>0.56400000000000006</v>
      </c>
      <c r="AW6" s="36">
        <f t="shared" si="19"/>
        <v>0.47262949164763846</v>
      </c>
      <c r="AX6" s="36">
        <f t="shared" si="20"/>
        <v>0.52892690998782355</v>
      </c>
      <c r="AY6" s="36">
        <f t="shared" si="21"/>
        <v>0.60572766570605185</v>
      </c>
      <c r="BA6" s="36">
        <f t="shared" si="5"/>
        <v>0.56799999999999995</v>
      </c>
      <c r="BB6" s="36">
        <v>0.43200000000000005</v>
      </c>
      <c r="BD6" s="36">
        <f t="shared" si="6"/>
        <v>0.52227067284679363</v>
      </c>
      <c r="BE6" s="36">
        <v>0.47772932715320637</v>
      </c>
      <c r="BF6" s="36"/>
      <c r="BH6" s="36">
        <v>0.48899999999999999</v>
      </c>
      <c r="BI6" s="36">
        <v>0.42599999999999999</v>
      </c>
      <c r="BJ6" s="36">
        <v>0.17200000000000004</v>
      </c>
      <c r="BL6" s="41">
        <v>1504.27</v>
      </c>
      <c r="BN6" s="40">
        <v>38.129600000000003</v>
      </c>
      <c r="BQ6" s="34" t="s">
        <v>600</v>
      </c>
      <c r="BR6" s="34" t="s">
        <v>83</v>
      </c>
      <c r="BS6" s="39">
        <v>0.58589743589743593</v>
      </c>
      <c r="CA6" t="s">
        <v>608</v>
      </c>
      <c r="CB6"/>
      <c r="CC6"/>
      <c r="CD6"/>
      <c r="CE6"/>
      <c r="CK6" s="51" t="s">
        <v>607</v>
      </c>
      <c r="CR6" s="34" t="s">
        <v>136</v>
      </c>
      <c r="CS6" s="34" t="s">
        <v>155</v>
      </c>
      <c r="CT6" s="34">
        <f t="shared" si="7"/>
        <v>0</v>
      </c>
      <c r="CU6" s="34">
        <f t="shared" si="8"/>
        <v>0</v>
      </c>
      <c r="CV6" s="34">
        <f t="shared" si="9"/>
        <v>0</v>
      </c>
      <c r="CW6" s="34">
        <f t="shared" si="10"/>
        <v>0</v>
      </c>
      <c r="CX6" s="38">
        <f t="shared" si="11"/>
        <v>0</v>
      </c>
      <c r="CY6" s="36">
        <f t="shared" si="13"/>
        <v>0.46539420000000009</v>
      </c>
      <c r="CZ6" s="37">
        <f t="shared" si="12"/>
        <v>6.9371954373236067E-2</v>
      </c>
      <c r="DA6" s="34" t="str">
        <f t="shared" si="14"/>
        <v/>
      </c>
      <c r="DG6" s="70" t="s">
        <v>623</v>
      </c>
      <c r="DH6" s="39">
        <f>1-CZ3</f>
        <v>3.4863230918044441E-2</v>
      </c>
    </row>
    <row r="7" spans="1:112" s="34" customFormat="1" x14ac:dyDescent="0.25">
      <c r="A7" s="34" t="s">
        <v>606</v>
      </c>
      <c r="B7" s="36" t="s">
        <v>98</v>
      </c>
      <c r="C7" s="34" t="s">
        <v>136</v>
      </c>
      <c r="D7" s="36">
        <v>0.47499999999999998</v>
      </c>
      <c r="E7" s="52">
        <f t="shared" si="0"/>
        <v>0.52500000000000002</v>
      </c>
      <c r="F7" s="36">
        <v>0.51365200572706038</v>
      </c>
      <c r="G7" s="36">
        <f t="shared" si="1"/>
        <v>-3.8652005727060401E-2</v>
      </c>
      <c r="H7" s="52">
        <f t="shared" si="2"/>
        <v>3.8652005727060401E-2</v>
      </c>
      <c r="L7" s="34" t="s">
        <v>605</v>
      </c>
      <c r="O7" s="34" t="s">
        <v>604</v>
      </c>
      <c r="R7" s="34" t="s">
        <v>603</v>
      </c>
      <c r="AH7" s="36">
        <v>0.48899999999999999</v>
      </c>
      <c r="AI7" s="36">
        <v>0.42009291927201592</v>
      </c>
      <c r="AJ7" s="36">
        <v>0.44456806282722511</v>
      </c>
      <c r="AK7" s="36">
        <v>0.48280052346232943</v>
      </c>
      <c r="AL7" s="36">
        <v>0.48899999999999999</v>
      </c>
      <c r="AM7" s="36">
        <v>0.58249533413186994</v>
      </c>
      <c r="AN7" s="36">
        <v>0.57948855989232839</v>
      </c>
      <c r="AO7" s="36">
        <v>0.51365200572706038</v>
      </c>
      <c r="AP7" s="36">
        <f t="shared" si="3"/>
        <v>-6.5836554165268013E-2</v>
      </c>
      <c r="AQ7" s="36"/>
      <c r="AR7" s="36">
        <f t="shared" si="15"/>
        <v>0.51100000000000001</v>
      </c>
      <c r="AS7" s="36">
        <f t="shared" si="16"/>
        <v>0.57990708072798403</v>
      </c>
      <c r="AT7" s="36">
        <f t="shared" si="17"/>
        <v>0.55543193717277495</v>
      </c>
      <c r="AU7" s="36">
        <f t="shared" si="18"/>
        <v>0.51719947653767062</v>
      </c>
      <c r="AV7" s="36">
        <f t="shared" si="22"/>
        <v>0.51100000000000001</v>
      </c>
      <c r="AW7" s="36">
        <f t="shared" si="19"/>
        <v>0.41750466586813006</v>
      </c>
      <c r="AX7" s="36">
        <f t="shared" si="20"/>
        <v>0.42051144010767161</v>
      </c>
      <c r="AY7" s="36">
        <f t="shared" si="21"/>
        <v>0.48634799427293962</v>
      </c>
      <c r="BA7" s="36">
        <f t="shared" si="5"/>
        <v>0.52500000000000002</v>
      </c>
      <c r="BB7" s="36">
        <v>0.47499999999999998</v>
      </c>
      <c r="BD7" s="36">
        <f t="shared" si="6"/>
        <v>0.50704330906597272</v>
      </c>
      <c r="BE7" s="36">
        <v>0.49295669093402733</v>
      </c>
      <c r="BF7" s="36"/>
      <c r="BH7" s="36">
        <v>0.441</v>
      </c>
      <c r="BI7" s="36">
        <v>0.35199999999999998</v>
      </c>
      <c r="BJ7" s="36">
        <v>7.3999999999999955E-2</v>
      </c>
      <c r="BL7" s="41">
        <v>1393.83</v>
      </c>
      <c r="BN7" s="40">
        <v>44.211799999999997</v>
      </c>
      <c r="BQ7" s="34" t="s">
        <v>600</v>
      </c>
      <c r="BR7" s="34" t="s">
        <v>79</v>
      </c>
      <c r="BS7" s="39">
        <v>0.37331002331002333</v>
      </c>
      <c r="CA7"/>
      <c r="CB7"/>
      <c r="CC7"/>
      <c r="CD7"/>
      <c r="CE7"/>
      <c r="CR7" s="34" t="s">
        <v>3</v>
      </c>
      <c r="CS7" s="34" t="s">
        <v>131</v>
      </c>
      <c r="CT7" s="34">
        <f t="shared" si="7"/>
        <v>0</v>
      </c>
      <c r="CU7" s="34">
        <f t="shared" si="8"/>
        <v>0</v>
      </c>
      <c r="CV7" s="34">
        <f t="shared" si="9"/>
        <v>0</v>
      </c>
      <c r="CW7" s="34">
        <f t="shared" si="10"/>
        <v>0</v>
      </c>
      <c r="CX7" s="38">
        <f t="shared" si="11"/>
        <v>0</v>
      </c>
      <c r="CY7" s="36">
        <f t="shared" si="13"/>
        <v>0.50839420000000002</v>
      </c>
      <c r="CZ7" s="37">
        <f t="shared" si="12"/>
        <v>0.64024572703327409</v>
      </c>
      <c r="DA7" s="34" t="str">
        <f t="shared" si="14"/>
        <v>ALP GAIN</v>
      </c>
      <c r="DG7" s="50" t="s">
        <v>314</v>
      </c>
      <c r="DH7" s="39">
        <f>1-CZ27</f>
        <v>8.9621731765152979E-2</v>
      </c>
    </row>
    <row r="8" spans="1:112" s="34" customFormat="1" x14ac:dyDescent="0.25">
      <c r="A8" s="34" t="s">
        <v>568</v>
      </c>
      <c r="B8" s="36" t="s">
        <v>110</v>
      </c>
      <c r="C8" s="34" t="s">
        <v>136</v>
      </c>
      <c r="D8" s="36">
        <v>0.34100000000000003</v>
      </c>
      <c r="E8" s="52">
        <f t="shared" si="0"/>
        <v>0.65900000000000003</v>
      </c>
      <c r="F8" s="36">
        <v>0.33516416823450873</v>
      </c>
      <c r="G8" s="36">
        <f t="shared" si="1"/>
        <v>5.835831765491295E-3</v>
      </c>
      <c r="H8" s="42">
        <f t="shared" si="2"/>
        <v>-5.835831765491295E-3</v>
      </c>
      <c r="J8" s="34" t="s">
        <v>602</v>
      </c>
      <c r="L8" s="34" t="s">
        <v>129</v>
      </c>
      <c r="Q8" s="34" t="s">
        <v>601</v>
      </c>
      <c r="R8" s="34" t="s">
        <v>128</v>
      </c>
      <c r="V8" s="51" t="s">
        <v>598</v>
      </c>
      <c r="AH8" s="36">
        <v>0.28100000000000003</v>
      </c>
      <c r="AI8" s="36">
        <v>0.35180546858693384</v>
      </c>
      <c r="AJ8" s="36">
        <v>0.35089023168643163</v>
      </c>
      <c r="AK8" s="36">
        <v>0.42945814991924502</v>
      </c>
      <c r="AL8" s="36">
        <v>0.42499999999999999</v>
      </c>
      <c r="AM8" s="36">
        <v>0.4597364085667216</v>
      </c>
      <c r="AN8" s="36">
        <v>0.42291534054742203</v>
      </c>
      <c r="AO8" s="36">
        <v>0.33516416823450873</v>
      </c>
      <c r="AP8" s="36">
        <f t="shared" si="3"/>
        <v>-8.7751172312913295E-2</v>
      </c>
      <c r="AQ8" s="36"/>
      <c r="AR8" s="36">
        <f t="shared" si="15"/>
        <v>0.71899999999999997</v>
      </c>
      <c r="AS8" s="36">
        <f t="shared" si="16"/>
        <v>0.64819453141306616</v>
      </c>
      <c r="AT8" s="36">
        <f t="shared" si="17"/>
        <v>0.64910976831356837</v>
      </c>
      <c r="AU8" s="36">
        <f t="shared" si="18"/>
        <v>0.57054185008075498</v>
      </c>
      <c r="AV8" s="36">
        <f t="shared" si="22"/>
        <v>0.57499999999999996</v>
      </c>
      <c r="AW8" s="36">
        <f t="shared" si="19"/>
        <v>0.5402635914332784</v>
      </c>
      <c r="AX8" s="36">
        <f t="shared" si="20"/>
        <v>0.57708465945257803</v>
      </c>
      <c r="AY8" s="36">
        <f t="shared" si="21"/>
        <v>0.66483583176549121</v>
      </c>
      <c r="BA8" s="36">
        <f t="shared" si="5"/>
        <v>0.65900000000000003</v>
      </c>
      <c r="BB8" s="36">
        <v>0.34100000000000003</v>
      </c>
      <c r="BD8" s="36">
        <f t="shared" si="6"/>
        <v>0.57935288294732379</v>
      </c>
      <c r="BE8" s="36">
        <v>0.42064711705267621</v>
      </c>
      <c r="BF8" s="36"/>
      <c r="BH8" s="36">
        <v>0.38700000000000001</v>
      </c>
      <c r="BI8" s="36">
        <v>0.35599999999999998</v>
      </c>
      <c r="BJ8" s="36">
        <v>7.2999999999999954E-2</v>
      </c>
      <c r="BL8" s="41">
        <v>1304.3399999999999</v>
      </c>
      <c r="BN8" s="40">
        <v>39.546900000000001</v>
      </c>
      <c r="BQ8" s="34" t="s">
        <v>600</v>
      </c>
      <c r="BR8" s="34" t="s">
        <v>56</v>
      </c>
      <c r="BS8" s="39">
        <v>4.0792540792540792E-2</v>
      </c>
      <c r="CA8" t="s">
        <v>599</v>
      </c>
      <c r="CB8"/>
      <c r="CC8"/>
      <c r="CD8"/>
      <c r="CE8"/>
      <c r="CL8" s="51" t="s">
        <v>598</v>
      </c>
      <c r="CR8" s="34" t="s">
        <v>136</v>
      </c>
      <c r="CS8" s="34" t="s">
        <v>155</v>
      </c>
      <c r="CT8" s="34">
        <f t="shared" si="7"/>
        <v>0</v>
      </c>
      <c r="CU8" s="34">
        <f t="shared" si="8"/>
        <v>0</v>
      </c>
      <c r="CV8" s="34">
        <f t="shared" si="9"/>
        <v>0</v>
      </c>
      <c r="CW8" s="34">
        <f t="shared" si="10"/>
        <v>0</v>
      </c>
      <c r="CX8" s="38">
        <f t="shared" si="11"/>
        <v>0</v>
      </c>
      <c r="CY8" s="36">
        <f t="shared" si="13"/>
        <v>0.37439420000000007</v>
      </c>
      <c r="CZ8" s="37">
        <f t="shared" si="12"/>
        <v>3.8591510764796055E-8</v>
      </c>
      <c r="DA8" s="34" t="str">
        <f t="shared" si="14"/>
        <v/>
      </c>
      <c r="DG8" s="70" t="s">
        <v>33</v>
      </c>
      <c r="DH8" s="39">
        <f>1-CZ86</f>
        <v>2.6066870271675757E-2</v>
      </c>
    </row>
    <row r="9" spans="1:112" s="34" customFormat="1" x14ac:dyDescent="0.25">
      <c r="A9" s="34" t="s">
        <v>553</v>
      </c>
      <c r="B9" s="36" t="s">
        <v>110</v>
      </c>
      <c r="C9" s="34" t="s">
        <v>3</v>
      </c>
      <c r="D9" s="36">
        <v>0.53200000000000003</v>
      </c>
      <c r="E9" s="42">
        <f t="shared" si="0"/>
        <v>0.46799999999999997</v>
      </c>
      <c r="F9" s="36">
        <v>0.53816669385092153</v>
      </c>
      <c r="G9" s="36">
        <f t="shared" si="1"/>
        <v>-6.1666938509215008E-3</v>
      </c>
      <c r="H9" s="42">
        <f t="shared" si="2"/>
        <v>6.1666938509215008E-3</v>
      </c>
      <c r="J9" s="34" t="s">
        <v>129</v>
      </c>
      <c r="L9" s="34" t="s">
        <v>597</v>
      </c>
      <c r="O9" s="34" t="s">
        <v>596</v>
      </c>
      <c r="R9" s="34" t="s">
        <v>595</v>
      </c>
      <c r="AH9" s="36">
        <v>0.44900000000000001</v>
      </c>
      <c r="AI9" s="36">
        <v>0.40944261846069568</v>
      </c>
      <c r="AJ9" s="36">
        <v>0.44919594219917147</v>
      </c>
      <c r="AK9" s="36">
        <v>0.53084644007379378</v>
      </c>
      <c r="AL9" s="36">
        <v>0.53</v>
      </c>
      <c r="AM9" s="36">
        <v>0.62959823185685304</v>
      </c>
      <c r="AN9" s="36">
        <v>0.55390757037123373</v>
      </c>
      <c r="AO9" s="36">
        <v>0.53816669385092153</v>
      </c>
      <c r="AP9" s="36">
        <f t="shared" si="3"/>
        <v>-1.5740876520312197E-2</v>
      </c>
      <c r="AQ9" s="36"/>
      <c r="AR9" s="36">
        <f t="shared" si="15"/>
        <v>0.55099999999999993</v>
      </c>
      <c r="AS9" s="36">
        <f t="shared" si="16"/>
        <v>0.59055738153930437</v>
      </c>
      <c r="AT9" s="36">
        <f t="shared" si="17"/>
        <v>0.55080405780082853</v>
      </c>
      <c r="AU9" s="36">
        <f t="shared" si="18"/>
        <v>0.46915355992620622</v>
      </c>
      <c r="AV9" s="36">
        <f t="shared" si="22"/>
        <v>0.47</v>
      </c>
      <c r="AW9" s="36">
        <f t="shared" si="19"/>
        <v>0.37040176814314696</v>
      </c>
      <c r="AX9" s="36">
        <f t="shared" si="20"/>
        <v>0.44609242962876627</v>
      </c>
      <c r="AY9" s="36">
        <f t="shared" si="21"/>
        <v>0.46183330614907847</v>
      </c>
      <c r="BA9" s="36">
        <f t="shared" si="5"/>
        <v>0.46799999999999997</v>
      </c>
      <c r="BB9" s="36">
        <v>0.53200000000000003</v>
      </c>
      <c r="BD9" s="36">
        <f t="shared" si="6"/>
        <v>0.52126735816044079</v>
      </c>
      <c r="BE9" s="36">
        <v>0.47873264183955921</v>
      </c>
      <c r="BF9" s="36"/>
      <c r="BH9" s="36">
        <v>0.433</v>
      </c>
      <c r="BI9" s="36">
        <v>0.36299999999999999</v>
      </c>
      <c r="BJ9" s="36">
        <v>6.9999999999999951E-2</v>
      </c>
      <c r="BL9" s="41">
        <v>1347.62</v>
      </c>
      <c r="BN9" s="40">
        <v>38.820300000000003</v>
      </c>
      <c r="BQ9" s="34" t="s">
        <v>580</v>
      </c>
      <c r="BR9" s="34" t="s">
        <v>59</v>
      </c>
      <c r="BS9" s="39">
        <v>0.49600705335797485</v>
      </c>
      <c r="CA9"/>
      <c r="CB9"/>
      <c r="CC9"/>
      <c r="CD9"/>
      <c r="CE9"/>
      <c r="CR9" s="34" t="s">
        <v>3</v>
      </c>
      <c r="CS9" s="34" t="s">
        <v>131</v>
      </c>
      <c r="CT9" s="34">
        <f t="shared" si="7"/>
        <v>0</v>
      </c>
      <c r="CU9" s="34">
        <f t="shared" si="8"/>
        <v>0</v>
      </c>
      <c r="CV9" s="34">
        <f t="shared" si="9"/>
        <v>0</v>
      </c>
      <c r="CW9" s="34">
        <f t="shared" si="10"/>
        <v>0</v>
      </c>
      <c r="CX9" s="38">
        <f t="shared" si="11"/>
        <v>0</v>
      </c>
      <c r="CY9" s="36">
        <f t="shared" si="13"/>
        <v>0.56539420000000007</v>
      </c>
      <c r="CZ9" s="37">
        <f t="shared" si="12"/>
        <v>0.99742625402928253</v>
      </c>
      <c r="DA9" s="34" t="str">
        <f t="shared" si="14"/>
        <v/>
      </c>
      <c r="DG9" s="70" t="s">
        <v>26</v>
      </c>
      <c r="DH9" s="39">
        <f>1-CZ89</f>
        <v>8.2893383832981726E-2</v>
      </c>
    </row>
    <row r="10" spans="1:112" s="34" customFormat="1" x14ac:dyDescent="0.25">
      <c r="A10" s="34" t="s">
        <v>548</v>
      </c>
      <c r="B10" s="36" t="s">
        <v>110</v>
      </c>
      <c r="C10" s="34" t="s">
        <v>3</v>
      </c>
      <c r="D10" s="36">
        <v>0.53100000000000003</v>
      </c>
      <c r="E10" s="42">
        <f t="shared" si="0"/>
        <v>0.46899999999999997</v>
      </c>
      <c r="F10" s="36">
        <v>0.52933318793958894</v>
      </c>
      <c r="G10" s="36">
        <f t="shared" si="1"/>
        <v>1.6668120604110825E-3</v>
      </c>
      <c r="H10" s="42">
        <f t="shared" si="2"/>
        <v>-1.6668120604110825E-3</v>
      </c>
      <c r="J10" s="34" t="s">
        <v>129</v>
      </c>
      <c r="L10" s="34" t="s">
        <v>594</v>
      </c>
      <c r="O10" s="34" t="s">
        <v>593</v>
      </c>
      <c r="R10" s="34" t="s">
        <v>592</v>
      </c>
      <c r="V10" s="51" t="s">
        <v>590</v>
      </c>
      <c r="AH10" s="36">
        <v>0.51600000000000001</v>
      </c>
      <c r="AI10" s="36">
        <v>0.48827285057395214</v>
      </c>
      <c r="AJ10" s="36">
        <v>0.51650050479555776</v>
      </c>
      <c r="AK10" s="36">
        <v>0.61252578748037068</v>
      </c>
      <c r="AL10" s="36">
        <v>0.61</v>
      </c>
      <c r="AM10" s="36">
        <v>0.65913868530197151</v>
      </c>
      <c r="AN10" s="36">
        <v>0.60564215520162656</v>
      </c>
      <c r="AO10" s="36">
        <v>0.52933318793958894</v>
      </c>
      <c r="AP10" s="36">
        <f t="shared" si="3"/>
        <v>-7.6308967262037619E-2</v>
      </c>
      <c r="AQ10" s="36"/>
      <c r="AR10" s="36">
        <f t="shared" si="15"/>
        <v>0.48399999999999999</v>
      </c>
      <c r="AS10" s="36">
        <f t="shared" si="16"/>
        <v>0.5117271494260478</v>
      </c>
      <c r="AT10" s="36">
        <f t="shared" si="17"/>
        <v>0.48349949520444224</v>
      </c>
      <c r="AU10" s="36">
        <f t="shared" si="18"/>
        <v>0.38747421251962932</v>
      </c>
      <c r="AV10" s="36">
        <f t="shared" si="22"/>
        <v>0.39</v>
      </c>
      <c r="AW10" s="36">
        <f t="shared" si="19"/>
        <v>0.34086131469802849</v>
      </c>
      <c r="AX10" s="36">
        <f t="shared" si="20"/>
        <v>0.39435784479837344</v>
      </c>
      <c r="AY10" s="36">
        <f t="shared" si="21"/>
        <v>0.47066681206041106</v>
      </c>
      <c r="BA10" s="36">
        <f t="shared" si="5"/>
        <v>0.46899999999999997</v>
      </c>
      <c r="BB10" s="36">
        <v>0.53100000000000003</v>
      </c>
      <c r="BD10" s="36">
        <f t="shared" si="6"/>
        <v>0.47019056912441604</v>
      </c>
      <c r="BE10" s="36">
        <v>0.52980943087558396</v>
      </c>
      <c r="BF10" s="36"/>
      <c r="BH10" s="36">
        <v>0.38400000000000001</v>
      </c>
      <c r="BI10" s="36">
        <v>0.33800000000000002</v>
      </c>
      <c r="BJ10" s="36">
        <v>8.0999999999999961E-2</v>
      </c>
      <c r="BL10" s="41">
        <v>1173.82</v>
      </c>
      <c r="BN10" s="40">
        <v>40.935400000000001</v>
      </c>
      <c r="BQ10" s="34" t="s">
        <v>580</v>
      </c>
      <c r="BR10" s="34" t="s">
        <v>64</v>
      </c>
      <c r="BS10" s="39">
        <v>0.24539242781328949</v>
      </c>
      <c r="CA10" t="s">
        <v>591</v>
      </c>
      <c r="CB10"/>
      <c r="CC10"/>
      <c r="CD10"/>
      <c r="CE10"/>
      <c r="CL10" s="51" t="s">
        <v>590</v>
      </c>
      <c r="CR10" s="34" t="s">
        <v>3</v>
      </c>
      <c r="CS10" s="34" t="s">
        <v>148</v>
      </c>
      <c r="CT10" s="34">
        <f t="shared" si="7"/>
        <v>0</v>
      </c>
      <c r="CU10" s="34">
        <f t="shared" si="8"/>
        <v>0</v>
      </c>
      <c r="CV10" s="34">
        <f t="shared" si="9"/>
        <v>1</v>
      </c>
      <c r="CW10" s="34">
        <f t="shared" si="10"/>
        <v>1</v>
      </c>
      <c r="CX10" s="38">
        <f t="shared" si="11"/>
        <v>1.3000000000000001E-2</v>
      </c>
      <c r="CY10" s="36">
        <f t="shared" si="13"/>
        <v>0.57739420000000008</v>
      </c>
      <c r="CZ10" s="37">
        <f t="shared" si="12"/>
        <v>0.99953523840911063</v>
      </c>
      <c r="DA10" s="34" t="str">
        <f t="shared" si="14"/>
        <v/>
      </c>
      <c r="DG10" s="71" t="s">
        <v>421</v>
      </c>
      <c r="DH10" s="39">
        <f>1-CZ20</f>
        <v>0.18002390732505646</v>
      </c>
    </row>
    <row r="11" spans="1:112" s="34" customFormat="1" x14ac:dyDescent="0.25">
      <c r="A11" s="34" t="s">
        <v>541</v>
      </c>
      <c r="B11" s="36" t="s">
        <v>106</v>
      </c>
      <c r="C11" s="34" t="s">
        <v>136</v>
      </c>
      <c r="D11" s="36">
        <v>0.49099999999999999</v>
      </c>
      <c r="E11" s="52">
        <f t="shared" si="0"/>
        <v>0.50900000000000001</v>
      </c>
      <c r="F11" s="36">
        <v>0.49247231195200736</v>
      </c>
      <c r="G11" s="36">
        <f t="shared" si="1"/>
        <v>-1.4723119520073658E-3</v>
      </c>
      <c r="H11" s="42">
        <f t="shared" si="2"/>
        <v>1.4723119520073658E-3</v>
      </c>
      <c r="J11" s="34" t="s">
        <v>589</v>
      </c>
      <c r="L11" s="34" t="s">
        <v>129</v>
      </c>
      <c r="Q11" s="34" t="s">
        <v>588</v>
      </c>
      <c r="R11" s="34" t="s">
        <v>587</v>
      </c>
      <c r="S11" s="34" t="s">
        <v>585</v>
      </c>
      <c r="X11" s="50" t="s">
        <v>584</v>
      </c>
      <c r="AH11" s="36">
        <v>0.51500000000000001</v>
      </c>
      <c r="AI11" s="36">
        <v>0.41738706532336689</v>
      </c>
      <c r="AJ11" s="36">
        <v>0.45254317857708765</v>
      </c>
      <c r="AK11" s="36">
        <v>0.48000763431625154</v>
      </c>
      <c r="AL11" s="36">
        <v>0.48100000000000004</v>
      </c>
      <c r="AM11" s="36">
        <v>0.54741610538236873</v>
      </c>
      <c r="AN11" s="36">
        <v>0.56321702431195386</v>
      </c>
      <c r="AO11" s="36">
        <v>0.49247231195200736</v>
      </c>
      <c r="AP11" s="36">
        <f t="shared" si="3"/>
        <v>-7.0744712359946504E-2</v>
      </c>
      <c r="AQ11" s="36"/>
      <c r="AR11" s="36">
        <f t="shared" si="15"/>
        <v>0.48499999999999999</v>
      </c>
      <c r="AS11" s="36">
        <f t="shared" si="16"/>
        <v>0.58261293467663311</v>
      </c>
      <c r="AT11" s="36">
        <f t="shared" si="17"/>
        <v>0.5474568214229123</v>
      </c>
      <c r="AU11" s="36">
        <f t="shared" si="18"/>
        <v>0.5199923656837484</v>
      </c>
      <c r="AV11" s="36">
        <f t="shared" si="22"/>
        <v>0.51899999999999991</v>
      </c>
      <c r="AW11" s="36">
        <f t="shared" si="19"/>
        <v>0.45258389461763127</v>
      </c>
      <c r="AX11" s="36">
        <f t="shared" si="20"/>
        <v>0.43678297568804614</v>
      </c>
      <c r="AY11" s="36">
        <f t="shared" si="21"/>
        <v>0.50752768804799264</v>
      </c>
      <c r="BA11" s="36">
        <f t="shared" si="5"/>
        <v>0.50900000000000001</v>
      </c>
      <c r="BB11" s="36">
        <v>0.49099999999999999</v>
      </c>
      <c r="BD11" s="36">
        <f t="shared" si="6"/>
        <v>0.51680389214016509</v>
      </c>
      <c r="BE11" s="36">
        <v>0.48319610785983491</v>
      </c>
      <c r="BF11" s="36"/>
      <c r="BH11" s="36">
        <v>0.63700000000000001</v>
      </c>
      <c r="BI11" s="36">
        <v>0.35</v>
      </c>
      <c r="BJ11" s="36">
        <v>0.29900000000000004</v>
      </c>
      <c r="BL11" s="41">
        <v>1843.58</v>
      </c>
      <c r="BN11" s="40">
        <v>39.882800000000003</v>
      </c>
      <c r="BQ11" s="34" t="s">
        <v>580</v>
      </c>
      <c r="BR11" s="34" t="s">
        <v>56</v>
      </c>
      <c r="BS11" s="39">
        <v>0.14215229149358247</v>
      </c>
      <c r="CA11" t="s">
        <v>586</v>
      </c>
      <c r="CB11" t="s">
        <v>584</v>
      </c>
      <c r="CC11"/>
      <c r="CD11"/>
      <c r="CE11"/>
      <c r="CI11" s="34" t="s">
        <v>585</v>
      </c>
      <c r="CN11" s="50" t="s">
        <v>584</v>
      </c>
      <c r="CR11" s="34" t="s">
        <v>136</v>
      </c>
      <c r="CS11" s="34" t="s">
        <v>197</v>
      </c>
      <c r="CT11" s="34">
        <f t="shared" si="7"/>
        <v>0</v>
      </c>
      <c r="CU11" s="34">
        <f t="shared" si="8"/>
        <v>1</v>
      </c>
      <c r="CV11" s="34">
        <f t="shared" si="9"/>
        <v>0</v>
      </c>
      <c r="CW11" s="34">
        <f t="shared" si="10"/>
        <v>0</v>
      </c>
      <c r="CX11" s="38">
        <f t="shared" si="11"/>
        <v>8.9999999999999993E-3</v>
      </c>
      <c r="CY11" s="36">
        <f t="shared" si="13"/>
        <v>0.51539420000000002</v>
      </c>
      <c r="CZ11" s="37">
        <f t="shared" si="12"/>
        <v>0.74491902402644361</v>
      </c>
      <c r="DA11" s="34" t="str">
        <f t="shared" si="14"/>
        <v>ALP GAIN</v>
      </c>
      <c r="DG11" s="50" t="s">
        <v>218</v>
      </c>
      <c r="DH11" s="39">
        <f>1-CZ34</f>
        <v>0.10428175288392949</v>
      </c>
    </row>
    <row r="12" spans="1:112" s="34" customFormat="1" x14ac:dyDescent="0.25">
      <c r="A12" s="34" t="s">
        <v>530</v>
      </c>
      <c r="B12" s="36" t="s">
        <v>94</v>
      </c>
      <c r="C12" s="34" t="s">
        <v>136</v>
      </c>
      <c r="D12" s="36">
        <v>0.40600000000000003</v>
      </c>
      <c r="E12" s="52">
        <f t="shared" si="0"/>
        <v>0.59399999999999997</v>
      </c>
      <c r="F12" s="36">
        <v>0.36196213916569114</v>
      </c>
      <c r="G12" s="36">
        <f t="shared" si="1"/>
        <v>4.4037860834308884E-2</v>
      </c>
      <c r="H12" s="42">
        <f t="shared" si="2"/>
        <v>-4.4037860834308884E-2</v>
      </c>
      <c r="J12" s="34" t="s">
        <v>583</v>
      </c>
      <c r="L12" s="34" t="s">
        <v>129</v>
      </c>
      <c r="Q12" s="34" t="s">
        <v>582</v>
      </c>
      <c r="R12" s="34" t="s">
        <v>581</v>
      </c>
      <c r="AH12" s="36">
        <v>0.43</v>
      </c>
      <c r="AI12" s="36">
        <v>0.36725937002242953</v>
      </c>
      <c r="AJ12" s="36">
        <v>0.39629054185278695</v>
      </c>
      <c r="AK12" s="36">
        <v>0.4239641802667013</v>
      </c>
      <c r="AL12" s="36">
        <v>0.42100000000000004</v>
      </c>
      <c r="AM12" s="36">
        <v>0.48909245720661204</v>
      </c>
      <c r="AN12" s="36">
        <v>0.44779140024637765</v>
      </c>
      <c r="AO12" s="36">
        <v>0.36196213916569114</v>
      </c>
      <c r="AP12" s="36">
        <f t="shared" si="3"/>
        <v>-8.5829261080686503E-2</v>
      </c>
      <c r="AQ12" s="36"/>
      <c r="AR12" s="36">
        <f t="shared" si="15"/>
        <v>0.57000000000000006</v>
      </c>
      <c r="AS12" s="36">
        <f t="shared" si="16"/>
        <v>0.63274062997757041</v>
      </c>
      <c r="AT12" s="36">
        <f t="shared" si="17"/>
        <v>0.60370945814721311</v>
      </c>
      <c r="AU12" s="36">
        <f t="shared" si="18"/>
        <v>0.57603581973329865</v>
      </c>
      <c r="AV12" s="36">
        <f t="shared" si="22"/>
        <v>0.57899999999999996</v>
      </c>
      <c r="AW12" s="36">
        <f t="shared" si="19"/>
        <v>0.51090754279338801</v>
      </c>
      <c r="AX12" s="36">
        <f t="shared" si="20"/>
        <v>0.55220859975362235</v>
      </c>
      <c r="AY12" s="36">
        <f t="shared" si="21"/>
        <v>0.63803786083430891</v>
      </c>
      <c r="AZ12" s="36"/>
      <c r="BA12" s="36">
        <f t="shared" si="5"/>
        <v>0.59399999999999997</v>
      </c>
      <c r="BB12" s="36">
        <v>0.40600000000000003</v>
      </c>
      <c r="BD12" s="36">
        <f t="shared" si="6"/>
        <v>0.51973373752432528</v>
      </c>
      <c r="BE12" s="36">
        <v>0.48026626247567472</v>
      </c>
      <c r="BF12" s="36"/>
      <c r="BH12" s="36">
        <v>0.68600000000000005</v>
      </c>
      <c r="BI12" s="36">
        <v>0.3</v>
      </c>
      <c r="BJ12" s="36">
        <v>0.32499999999999996</v>
      </c>
      <c r="BL12" s="41">
        <v>1903.78</v>
      </c>
      <c r="BN12" s="40">
        <v>39.365400000000001</v>
      </c>
      <c r="BQ12" s="34" t="s">
        <v>580</v>
      </c>
      <c r="BR12" s="34" t="s">
        <v>96</v>
      </c>
      <c r="BS12" s="39">
        <v>0.11644822733515318</v>
      </c>
      <c r="CA12"/>
      <c r="CB12"/>
      <c r="CC12"/>
      <c r="CD12"/>
      <c r="CE12"/>
      <c r="CR12" s="34" t="s">
        <v>136</v>
      </c>
      <c r="CS12" s="34" t="s">
        <v>155</v>
      </c>
      <c r="CT12" s="34">
        <f t="shared" si="7"/>
        <v>0</v>
      </c>
      <c r="CU12" s="34">
        <f t="shared" si="8"/>
        <v>0</v>
      </c>
      <c r="CV12" s="34">
        <f t="shared" si="9"/>
        <v>0</v>
      </c>
      <c r="CW12" s="34">
        <f t="shared" si="10"/>
        <v>0</v>
      </c>
      <c r="CX12" s="38">
        <f t="shared" si="11"/>
        <v>0</v>
      </c>
      <c r="CY12" s="36">
        <f t="shared" si="13"/>
        <v>0.43939420000000007</v>
      </c>
      <c r="CZ12" s="37">
        <f t="shared" si="12"/>
        <v>4.7598861949621485E-3</v>
      </c>
      <c r="DA12" s="34" t="str">
        <f t="shared" si="14"/>
        <v/>
      </c>
      <c r="DG12" s="71" t="s">
        <v>541</v>
      </c>
      <c r="DH12" s="39">
        <f>1-CZ11</f>
        <v>0.25508097597355639</v>
      </c>
    </row>
    <row r="13" spans="1:112" s="34" customFormat="1" x14ac:dyDescent="0.25">
      <c r="A13" s="34" t="s">
        <v>517</v>
      </c>
      <c r="B13" s="36" t="s">
        <v>106</v>
      </c>
      <c r="C13" s="34" t="s">
        <v>136</v>
      </c>
      <c r="D13" s="36">
        <v>0.35700000000000004</v>
      </c>
      <c r="E13" s="52">
        <f t="shared" si="0"/>
        <v>0.64300000000000002</v>
      </c>
      <c r="F13" s="36">
        <v>0.32442949093036866</v>
      </c>
      <c r="G13" s="36">
        <f t="shared" si="1"/>
        <v>3.2570509069631381E-2</v>
      </c>
      <c r="H13" s="42">
        <f t="shared" si="2"/>
        <v>-3.2570509069631381E-2</v>
      </c>
      <c r="J13" s="34" t="s">
        <v>579</v>
      </c>
      <c r="L13" s="34" t="s">
        <v>129</v>
      </c>
      <c r="Q13" s="34" t="s">
        <v>578</v>
      </c>
      <c r="R13" s="34" t="s">
        <v>577</v>
      </c>
      <c r="AH13" s="36">
        <v>0.374</v>
      </c>
      <c r="AI13" s="36">
        <v>0.27156184978857639</v>
      </c>
      <c r="AJ13" s="36">
        <v>0.31838020542775569</v>
      </c>
      <c r="AK13" s="36">
        <v>0.34415244819245605</v>
      </c>
      <c r="AL13" s="36">
        <v>0.35399999999999998</v>
      </c>
      <c r="AM13" s="36">
        <v>0.42587752053771472</v>
      </c>
      <c r="AN13" s="36">
        <v>0.39073995257493765</v>
      </c>
      <c r="AO13" s="36">
        <v>0.32442949093036866</v>
      </c>
      <c r="AP13" s="36">
        <f t="shared" si="3"/>
        <v>-6.6310461644568996E-2</v>
      </c>
      <c r="AQ13" s="36"/>
      <c r="AR13" s="36">
        <f t="shared" si="15"/>
        <v>0.626</v>
      </c>
      <c r="AS13" s="36">
        <f t="shared" si="16"/>
        <v>0.72843815021142366</v>
      </c>
      <c r="AT13" s="36">
        <f t="shared" si="17"/>
        <v>0.68161979457224431</v>
      </c>
      <c r="AU13" s="36">
        <f t="shared" si="18"/>
        <v>0.65584755180754395</v>
      </c>
      <c r="AV13" s="36">
        <f t="shared" si="22"/>
        <v>0.64600000000000002</v>
      </c>
      <c r="AW13" s="36">
        <f t="shared" si="19"/>
        <v>0.57412247946228523</v>
      </c>
      <c r="AX13" s="36">
        <f t="shared" si="20"/>
        <v>0.60926004742506235</v>
      </c>
      <c r="AY13" s="36">
        <f t="shared" si="21"/>
        <v>0.67557050906963134</v>
      </c>
      <c r="BA13" s="36">
        <f t="shared" si="5"/>
        <v>0.64300000000000002</v>
      </c>
      <c r="BB13" s="36">
        <v>0.35700000000000004</v>
      </c>
      <c r="BD13" s="36">
        <f t="shared" si="6"/>
        <v>0.60614452563848475</v>
      </c>
      <c r="BE13" s="36">
        <v>0.3938554743615153</v>
      </c>
      <c r="BF13" s="36"/>
      <c r="BH13" s="36">
        <v>0.72199999999999998</v>
      </c>
      <c r="BI13" s="36">
        <v>0.28899999999999998</v>
      </c>
      <c r="BJ13" s="36">
        <v>0.20299999999999996</v>
      </c>
      <c r="BL13" s="41">
        <v>2487.9699999999998</v>
      </c>
      <c r="BN13" s="40">
        <v>41.045499999999997</v>
      </c>
      <c r="BQ13" s="34" t="s">
        <v>574</v>
      </c>
      <c r="BR13" s="34" t="s">
        <v>117</v>
      </c>
      <c r="BS13" s="39">
        <v>0.585168940555437</v>
      </c>
      <c r="CA13"/>
      <c r="CB13"/>
      <c r="CC13"/>
      <c r="CD13"/>
      <c r="CE13"/>
      <c r="CR13" s="34" t="s">
        <v>136</v>
      </c>
      <c r="CS13" s="34" t="s">
        <v>155</v>
      </c>
      <c r="CT13" s="34">
        <f t="shared" si="7"/>
        <v>0</v>
      </c>
      <c r="CU13" s="34">
        <f t="shared" si="8"/>
        <v>0</v>
      </c>
      <c r="CV13" s="34">
        <f t="shared" si="9"/>
        <v>0</v>
      </c>
      <c r="CW13" s="34">
        <f t="shared" si="10"/>
        <v>0</v>
      </c>
      <c r="CX13" s="38">
        <f t="shared" si="11"/>
        <v>0</v>
      </c>
      <c r="CY13" s="36">
        <f t="shared" si="13"/>
        <v>0.39039420000000008</v>
      </c>
      <c r="CZ13" s="37">
        <f t="shared" si="12"/>
        <v>1.3721109997089087E-6</v>
      </c>
      <c r="DA13" s="34" t="str">
        <f t="shared" si="14"/>
        <v/>
      </c>
      <c r="DG13" s="70" t="s">
        <v>95</v>
      </c>
      <c r="DH13" s="39">
        <f>1-CZ53</f>
        <v>0.16901741466522613</v>
      </c>
    </row>
    <row r="14" spans="1:112" s="34" customFormat="1" x14ac:dyDescent="0.25">
      <c r="A14" s="34" t="s">
        <v>504</v>
      </c>
      <c r="B14" s="36" t="s">
        <v>130</v>
      </c>
      <c r="C14" s="34" t="s">
        <v>3</v>
      </c>
      <c r="D14" s="36">
        <v>0.7</v>
      </c>
      <c r="E14" s="42">
        <f t="shared" si="0"/>
        <v>0.30000000000000004</v>
      </c>
      <c r="F14" s="36">
        <v>0.70976244712007808</v>
      </c>
      <c r="G14" s="36">
        <f t="shared" si="1"/>
        <v>-9.7624471200781215E-3</v>
      </c>
      <c r="H14" s="42">
        <f t="shared" si="2"/>
        <v>9.7624471200781215E-3</v>
      </c>
      <c r="J14" s="34" t="s">
        <v>129</v>
      </c>
      <c r="L14" s="34" t="s">
        <v>576</v>
      </c>
      <c r="O14" s="34" t="s">
        <v>128</v>
      </c>
      <c r="R14" s="34" t="s">
        <v>575</v>
      </c>
      <c r="AH14" s="36">
        <v>0.626</v>
      </c>
      <c r="AI14" s="36">
        <v>0.69307111321925052</v>
      </c>
      <c r="AJ14" s="36">
        <v>0.75074920246189536</v>
      </c>
      <c r="AK14" s="36">
        <v>0.74639442042477988</v>
      </c>
      <c r="AL14" s="36">
        <v>0.74900000000000011</v>
      </c>
      <c r="AM14" s="36">
        <v>0.80755593209702214</v>
      </c>
      <c r="AN14" s="36">
        <v>0.81894792283889661</v>
      </c>
      <c r="AO14" s="36">
        <v>0.70976244712007808</v>
      </c>
      <c r="AP14" s="36">
        <f t="shared" si="3"/>
        <v>-0.10918547571881854</v>
      </c>
      <c r="AQ14" s="36"/>
      <c r="AR14" s="36">
        <f t="shared" si="15"/>
        <v>0.374</v>
      </c>
      <c r="AS14" s="36">
        <f t="shared" si="16"/>
        <v>0.30692888678074948</v>
      </c>
      <c r="AT14" s="36">
        <f t="shared" si="17"/>
        <v>0.24925079753810464</v>
      </c>
      <c r="AU14" s="36">
        <f t="shared" si="18"/>
        <v>0.25360557957522012</v>
      </c>
      <c r="AV14" s="36">
        <f t="shared" si="22"/>
        <v>0.25099999999999989</v>
      </c>
      <c r="AW14" s="36">
        <f t="shared" si="19"/>
        <v>0.19244406790297786</v>
      </c>
      <c r="AX14" s="36">
        <f t="shared" si="20"/>
        <v>0.18105207716110339</v>
      </c>
      <c r="AY14" s="36">
        <f t="shared" si="21"/>
        <v>0.29023755287992192</v>
      </c>
      <c r="BA14" s="36">
        <f t="shared" si="5"/>
        <v>0.30000000000000004</v>
      </c>
      <c r="BB14" s="36">
        <v>0.7</v>
      </c>
      <c r="BD14" s="36">
        <f t="shared" si="6"/>
        <v>0.27459839540070674</v>
      </c>
      <c r="BE14" s="36">
        <v>0.72540160459929326</v>
      </c>
      <c r="BF14" s="36"/>
      <c r="BH14" s="36">
        <v>0.41099999999999998</v>
      </c>
      <c r="BI14" s="36">
        <v>0.33</v>
      </c>
      <c r="BJ14" s="36">
        <v>0.68599999999999994</v>
      </c>
      <c r="BL14" s="41">
        <v>956.15300000000002</v>
      </c>
      <c r="BN14" s="40">
        <v>33.142200000000003</v>
      </c>
      <c r="BQ14" s="34" t="s">
        <v>574</v>
      </c>
      <c r="BR14" s="34" t="s">
        <v>48</v>
      </c>
      <c r="BS14" s="39">
        <v>0.41483105944456306</v>
      </c>
      <c r="BV14" s="34" t="s">
        <v>573</v>
      </c>
      <c r="CA14"/>
      <c r="CB14"/>
      <c r="CC14"/>
      <c r="CD14"/>
      <c r="CE14"/>
      <c r="CR14" s="34" t="s">
        <v>3</v>
      </c>
      <c r="CS14" s="34" t="s">
        <v>131</v>
      </c>
      <c r="CT14" s="34">
        <f t="shared" si="7"/>
        <v>0</v>
      </c>
      <c r="CU14" s="34">
        <f t="shared" si="8"/>
        <v>0</v>
      </c>
      <c r="CV14" s="34">
        <f t="shared" si="9"/>
        <v>0</v>
      </c>
      <c r="CW14" s="34">
        <f t="shared" si="10"/>
        <v>0</v>
      </c>
      <c r="CX14" s="38">
        <f t="shared" si="11"/>
        <v>0</v>
      </c>
      <c r="CY14" s="36">
        <f t="shared" si="13"/>
        <v>0.7333942</v>
      </c>
      <c r="CZ14" s="37">
        <f t="shared" si="12"/>
        <v>1</v>
      </c>
      <c r="DA14" s="34" t="str">
        <f t="shared" si="14"/>
        <v/>
      </c>
      <c r="DG14" s="71" t="s">
        <v>92</v>
      </c>
      <c r="DH14" s="39">
        <f>1-CZ54</f>
        <v>0.3438798802688311</v>
      </c>
    </row>
    <row r="15" spans="1:112" s="34" customFormat="1" x14ac:dyDescent="0.25">
      <c r="A15" s="34" t="s">
        <v>490</v>
      </c>
      <c r="B15" s="36" t="s">
        <v>130</v>
      </c>
      <c r="C15" s="34" t="s">
        <v>246</v>
      </c>
      <c r="D15" s="36">
        <v>0.53600000000000003</v>
      </c>
      <c r="E15" s="42">
        <f t="shared" si="0"/>
        <v>0.46399999999999997</v>
      </c>
      <c r="F15" s="36">
        <v>0.7519069308017341</v>
      </c>
      <c r="G15" s="36"/>
      <c r="H15" s="42"/>
      <c r="J15" s="34" t="s">
        <v>129</v>
      </c>
      <c r="L15" s="34" t="s">
        <v>572</v>
      </c>
      <c r="O15" s="50" t="s">
        <v>571</v>
      </c>
      <c r="R15" s="34" t="s">
        <v>570</v>
      </c>
      <c r="S15" s="34" t="s">
        <v>565</v>
      </c>
      <c r="X15" t="s">
        <v>564</v>
      </c>
      <c r="Y15" t="s">
        <v>563</v>
      </c>
      <c r="AG15" s="34" t="s">
        <v>569</v>
      </c>
      <c r="AH15" s="36">
        <v>0.65700000000000003</v>
      </c>
      <c r="AI15" s="36">
        <v>0.60901968940654461</v>
      </c>
      <c r="AJ15" s="36">
        <v>0.66832860820542905</v>
      </c>
      <c r="AK15" s="36">
        <v>0.71777039295625067</v>
      </c>
      <c r="AL15" s="36">
        <v>0.71</v>
      </c>
      <c r="AM15" s="36">
        <v>0.78008425422797489</v>
      </c>
      <c r="AN15" s="36">
        <v>0.77853215970198575</v>
      </c>
      <c r="AO15" s="36">
        <v>0.7519069308017341</v>
      </c>
      <c r="AP15" s="36">
        <f t="shared" si="3"/>
        <v>-2.6625228900251652E-2</v>
      </c>
      <c r="AQ15" s="36"/>
      <c r="AR15" s="36">
        <f t="shared" si="15"/>
        <v>0.34299999999999997</v>
      </c>
      <c r="AS15" s="36">
        <f t="shared" si="16"/>
        <v>0.39098031059345539</v>
      </c>
      <c r="AT15" s="36">
        <f t="shared" si="17"/>
        <v>0.33167139179457095</v>
      </c>
      <c r="AU15" s="36">
        <f t="shared" si="18"/>
        <v>0.28222960704374933</v>
      </c>
      <c r="AV15" s="36">
        <f t="shared" si="22"/>
        <v>0.29000000000000004</v>
      </c>
      <c r="AW15" s="36">
        <f t="shared" si="19"/>
        <v>0.21991574577202511</v>
      </c>
      <c r="AX15" s="36">
        <f t="shared" si="20"/>
        <v>0.22146784029801425</v>
      </c>
      <c r="AY15" s="36">
        <f t="shared" si="21"/>
        <v>0.2480930691982659</v>
      </c>
      <c r="BA15" s="36">
        <f t="shared" si="5"/>
        <v>0.46399999999999997</v>
      </c>
      <c r="BB15" s="36">
        <v>0.53600000000000003</v>
      </c>
      <c r="BD15" s="36">
        <f t="shared" si="6"/>
        <v>0.23421177271375426</v>
      </c>
      <c r="BE15" s="36">
        <v>0.76578822728624574</v>
      </c>
      <c r="BF15" s="36">
        <v>0.55500000000000005</v>
      </c>
      <c r="BG15" s="36"/>
      <c r="BH15" s="36">
        <v>0.68400000000000005</v>
      </c>
      <c r="BI15" s="36">
        <v>0.26600000000000001</v>
      </c>
      <c r="BJ15" s="36">
        <v>0.38100000000000001</v>
      </c>
      <c r="BL15" s="41">
        <v>1760.48</v>
      </c>
      <c r="BN15" s="40">
        <v>34.485900000000001</v>
      </c>
      <c r="BQ15" s="34" t="s">
        <v>568</v>
      </c>
      <c r="BR15" s="34" t="s">
        <v>73</v>
      </c>
      <c r="BS15" s="39">
        <v>1</v>
      </c>
      <c r="BU15" s="34" t="s">
        <v>567</v>
      </c>
      <c r="CA15" t="s">
        <v>564</v>
      </c>
      <c r="CB15" t="s">
        <v>566</v>
      </c>
      <c r="CC15" t="s">
        <v>563</v>
      </c>
      <c r="CD15"/>
      <c r="CE15"/>
      <c r="CI15" s="34" t="s">
        <v>565</v>
      </c>
      <c r="CN15" t="s">
        <v>564</v>
      </c>
      <c r="CO15" t="s">
        <v>563</v>
      </c>
      <c r="CR15" s="34" t="s">
        <v>3</v>
      </c>
      <c r="CS15" s="34" t="s">
        <v>148</v>
      </c>
      <c r="CT15" s="34">
        <f t="shared" si="7"/>
        <v>0</v>
      </c>
      <c r="CU15" s="34">
        <f t="shared" si="8"/>
        <v>0</v>
      </c>
      <c r="CV15" s="34">
        <f t="shared" si="9"/>
        <v>1</v>
      </c>
      <c r="CW15" s="34">
        <f t="shared" si="10"/>
        <v>0</v>
      </c>
      <c r="CX15" s="38">
        <f t="shared" si="11"/>
        <v>5.0000000000000001E-3</v>
      </c>
      <c r="CY15" s="36">
        <f t="shared" si="13"/>
        <v>0.57439420000000008</v>
      </c>
      <c r="CZ15" s="37">
        <f t="shared" si="12"/>
        <v>0.99927042764644902</v>
      </c>
      <c r="DA15" s="34" t="str">
        <f t="shared" si="14"/>
        <v/>
      </c>
      <c r="DG15" s="50" t="s">
        <v>61</v>
      </c>
      <c r="DH15" s="39">
        <f>1-CZ74</f>
        <v>0.37587439681875079</v>
      </c>
    </row>
    <row r="16" spans="1:112" s="34" customFormat="1" x14ac:dyDescent="0.25">
      <c r="A16" s="34" t="s">
        <v>483</v>
      </c>
      <c r="B16" s="36" t="s">
        <v>94</v>
      </c>
      <c r="C16" s="34" t="s">
        <v>136</v>
      </c>
      <c r="D16" s="36">
        <v>0.34899999999999998</v>
      </c>
      <c r="E16" s="52">
        <f t="shared" si="0"/>
        <v>0.65100000000000002</v>
      </c>
      <c r="F16" s="36">
        <v>0.35155558366004808</v>
      </c>
      <c r="G16" s="36">
        <f t="shared" ref="G16:G48" si="23">D16-F16</f>
        <v>-2.5555836600480997E-3</v>
      </c>
      <c r="H16" s="42">
        <f t="shared" ref="H16:H48" si="24">0-G16</f>
        <v>2.5555836600480997E-3</v>
      </c>
      <c r="L16" s="34" t="s">
        <v>129</v>
      </c>
      <c r="O16" s="34" t="s">
        <v>562</v>
      </c>
      <c r="Q16" s="34" t="s">
        <v>561</v>
      </c>
      <c r="R16" s="34" t="s">
        <v>560</v>
      </c>
      <c r="U16" s="34" t="s">
        <v>557</v>
      </c>
      <c r="AB16" s="34" t="s">
        <v>559</v>
      </c>
      <c r="AH16" s="36">
        <v>0.40799999999999997</v>
      </c>
      <c r="AI16" s="36">
        <v>0.31754451163890673</v>
      </c>
      <c r="AJ16" s="36">
        <v>0.35396169487078577</v>
      </c>
      <c r="AK16" s="36">
        <v>0.38393415637860084</v>
      </c>
      <c r="AL16" s="36">
        <v>0.371</v>
      </c>
      <c r="AM16" s="36">
        <v>0.4735687720525128</v>
      </c>
      <c r="AN16" s="36">
        <v>0.41568917312080211</v>
      </c>
      <c r="AO16" s="36">
        <v>0.35155558366004808</v>
      </c>
      <c r="AP16" s="36">
        <f t="shared" si="3"/>
        <v>-6.4133589460754037E-2</v>
      </c>
      <c r="AQ16" s="36"/>
      <c r="AR16" s="36">
        <f t="shared" si="15"/>
        <v>0.59200000000000008</v>
      </c>
      <c r="AS16" s="36">
        <f t="shared" si="16"/>
        <v>0.68245548836109327</v>
      </c>
      <c r="AT16" s="36">
        <f t="shared" si="17"/>
        <v>0.64603830512921423</v>
      </c>
      <c r="AU16" s="36">
        <f t="shared" si="18"/>
        <v>0.61606584362139916</v>
      </c>
      <c r="AV16" s="36">
        <f t="shared" si="22"/>
        <v>0.629</v>
      </c>
      <c r="AW16" s="36">
        <f t="shared" si="19"/>
        <v>0.5264312279474872</v>
      </c>
      <c r="AX16" s="36">
        <f t="shared" si="20"/>
        <v>0.58431082687919789</v>
      </c>
      <c r="AY16" s="36">
        <f t="shared" si="21"/>
        <v>0.64844441633995187</v>
      </c>
      <c r="BA16" s="36">
        <f t="shared" si="5"/>
        <v>0.65100000000000002</v>
      </c>
      <c r="BB16" s="36">
        <v>0.34899999999999998</v>
      </c>
      <c r="BD16" s="36">
        <f t="shared" si="6"/>
        <v>0.62003563042183907</v>
      </c>
      <c r="BE16" s="36">
        <v>0.37996436957816093</v>
      </c>
      <c r="BF16" s="36"/>
      <c r="BH16" s="36">
        <v>0.622</v>
      </c>
      <c r="BI16" s="36">
        <v>0.29699999999999999</v>
      </c>
      <c r="BJ16" s="36">
        <v>0.48099999999999998</v>
      </c>
      <c r="BL16" s="41">
        <v>1674.86</v>
      </c>
      <c r="BN16" s="40">
        <v>43.905099999999997</v>
      </c>
      <c r="BQ16" s="34" t="s">
        <v>553</v>
      </c>
      <c r="BR16" s="34" t="s">
        <v>60</v>
      </c>
      <c r="BS16" s="39">
        <v>0.98308880581223113</v>
      </c>
      <c r="CA16" t="s">
        <v>558</v>
      </c>
      <c r="CB16"/>
      <c r="CC16"/>
      <c r="CD16"/>
      <c r="CE16"/>
      <c r="CK16" s="34" t="s">
        <v>557</v>
      </c>
      <c r="CR16" s="34" t="s">
        <v>136</v>
      </c>
      <c r="CS16" s="34" t="s">
        <v>410</v>
      </c>
      <c r="CT16" s="34">
        <f t="shared" si="7"/>
        <v>1</v>
      </c>
      <c r="CU16" s="34">
        <f t="shared" si="8"/>
        <v>0</v>
      </c>
      <c r="CV16" s="34">
        <f t="shared" si="9"/>
        <v>0</v>
      </c>
      <c r="CW16" s="34">
        <f t="shared" si="10"/>
        <v>0</v>
      </c>
      <c r="CX16" s="38">
        <f t="shared" si="11"/>
        <v>-0.01</v>
      </c>
      <c r="CY16" s="36">
        <f t="shared" si="13"/>
        <v>0.39239420000000003</v>
      </c>
      <c r="CZ16" s="37">
        <f t="shared" si="12"/>
        <v>2.0769711401857904E-6</v>
      </c>
      <c r="DA16" s="34" t="str">
        <f t="shared" si="14"/>
        <v/>
      </c>
      <c r="DG16" s="70" t="s">
        <v>574</v>
      </c>
      <c r="DH16" s="39">
        <f>1-CZ7</f>
        <v>0.35975427296672591</v>
      </c>
    </row>
    <row r="17" spans="1:112" s="34" customFormat="1" x14ac:dyDescent="0.25">
      <c r="A17" s="34" t="s">
        <v>468</v>
      </c>
      <c r="B17" s="36" t="s">
        <v>130</v>
      </c>
      <c r="C17" s="34" t="s">
        <v>3</v>
      </c>
      <c r="D17" s="36">
        <v>0.60899999999999999</v>
      </c>
      <c r="E17" s="42">
        <f t="shared" si="0"/>
        <v>0.39100000000000001</v>
      </c>
      <c r="F17" s="36">
        <v>0.57562236514139764</v>
      </c>
      <c r="G17" s="36">
        <f t="shared" si="23"/>
        <v>3.3377634858602345E-2</v>
      </c>
      <c r="H17" s="42">
        <f t="shared" si="24"/>
        <v>-3.3377634858602345E-2</v>
      </c>
      <c r="J17" s="34" t="s">
        <v>129</v>
      </c>
      <c r="L17" s="34" t="s">
        <v>556</v>
      </c>
      <c r="O17" s="34" t="s">
        <v>555</v>
      </c>
      <c r="R17" s="34" t="s">
        <v>554</v>
      </c>
      <c r="AH17" s="36">
        <v>0.59099999999999997</v>
      </c>
      <c r="AI17" s="36">
        <v>0.51036930933549229</v>
      </c>
      <c r="AJ17" s="36">
        <v>0.52560313630880584</v>
      </c>
      <c r="AK17" s="36">
        <v>0.5605137006569213</v>
      </c>
      <c r="AL17" s="36">
        <v>0.57200000000000006</v>
      </c>
      <c r="AM17" s="36">
        <v>0.67568164604897751</v>
      </c>
      <c r="AN17" s="36">
        <v>0.65124107339478399</v>
      </c>
      <c r="AO17" s="36">
        <v>0.57562236514139764</v>
      </c>
      <c r="AP17" s="36">
        <f t="shared" si="3"/>
        <v>-7.5618708253386346E-2</v>
      </c>
      <c r="AQ17" s="36"/>
      <c r="AR17" s="36">
        <f t="shared" si="15"/>
        <v>0.40900000000000003</v>
      </c>
      <c r="AS17" s="36">
        <f t="shared" si="16"/>
        <v>0.48963069066450771</v>
      </c>
      <c r="AT17" s="36">
        <f t="shared" si="17"/>
        <v>0.47439686369119416</v>
      </c>
      <c r="AU17" s="36">
        <f t="shared" si="18"/>
        <v>0.4394862993430787</v>
      </c>
      <c r="AV17" s="36">
        <f t="shared" si="22"/>
        <v>0.42799999999999994</v>
      </c>
      <c r="AW17" s="36">
        <f t="shared" si="19"/>
        <v>0.32431835395102249</v>
      </c>
      <c r="AX17" s="36">
        <f t="shared" si="20"/>
        <v>0.34875892660521601</v>
      </c>
      <c r="AY17" s="36">
        <f t="shared" si="21"/>
        <v>0.42437763485860236</v>
      </c>
      <c r="BA17" s="36">
        <f t="shared" si="5"/>
        <v>0.39100000000000001</v>
      </c>
      <c r="BB17" s="36">
        <v>0.60899999999999999</v>
      </c>
      <c r="BD17" s="36">
        <f t="shared" si="6"/>
        <v>0.44977443147379781</v>
      </c>
      <c r="BE17" s="36">
        <v>0.55022556852620219</v>
      </c>
      <c r="BF17" s="36"/>
      <c r="BH17" s="36">
        <v>0.55900000000000005</v>
      </c>
      <c r="BI17" s="36">
        <v>0.36799999999999999</v>
      </c>
      <c r="BJ17" s="36">
        <v>0.35699999999999998</v>
      </c>
      <c r="BL17" s="41">
        <v>1477.5</v>
      </c>
      <c r="BN17" s="40">
        <v>36.780999999999999</v>
      </c>
      <c r="BQ17" s="34" t="s">
        <v>553</v>
      </c>
      <c r="BR17" s="34" t="s">
        <v>50</v>
      </c>
      <c r="BS17" s="39">
        <v>1.6911194187768923E-2</v>
      </c>
      <c r="CA17"/>
      <c r="CB17"/>
      <c r="CC17"/>
      <c r="CD17"/>
      <c r="CE17"/>
      <c r="CR17" s="34" t="s">
        <v>3</v>
      </c>
      <c r="CS17" s="34" t="s">
        <v>131</v>
      </c>
      <c r="CT17" s="34">
        <f t="shared" si="7"/>
        <v>0</v>
      </c>
      <c r="CU17" s="34">
        <f t="shared" si="8"/>
        <v>0</v>
      </c>
      <c r="CV17" s="34">
        <f t="shared" si="9"/>
        <v>0</v>
      </c>
      <c r="CW17" s="34">
        <f t="shared" si="10"/>
        <v>0</v>
      </c>
      <c r="CX17" s="38">
        <f t="shared" si="11"/>
        <v>0</v>
      </c>
      <c r="CY17" s="36">
        <f t="shared" si="13"/>
        <v>0.64239420000000003</v>
      </c>
      <c r="CZ17" s="37">
        <f t="shared" si="12"/>
        <v>0.99999999944184403</v>
      </c>
      <c r="DA17" s="34" t="str">
        <f t="shared" si="14"/>
        <v/>
      </c>
      <c r="DG17" s="71" t="s">
        <v>227</v>
      </c>
      <c r="DH17" s="39">
        <f>1-CZ33</f>
        <v>0.67498879148391522</v>
      </c>
    </row>
    <row r="18" spans="1:112" s="34" customFormat="1" x14ac:dyDescent="0.25">
      <c r="A18" s="34" t="s">
        <v>451</v>
      </c>
      <c r="B18" s="36" t="s">
        <v>98</v>
      </c>
      <c r="C18" s="34" t="s">
        <v>3</v>
      </c>
      <c r="D18" s="36">
        <v>0.51600000000000001</v>
      </c>
      <c r="E18" s="42">
        <f t="shared" si="0"/>
        <v>0.48399999999999999</v>
      </c>
      <c r="F18" s="36">
        <v>0.51512146752602872</v>
      </c>
      <c r="G18" s="36">
        <f t="shared" si="23"/>
        <v>8.7853247397129408E-4</v>
      </c>
      <c r="H18" s="42">
        <f t="shared" si="24"/>
        <v>-8.7853247397129408E-4</v>
      </c>
      <c r="J18" s="34" t="s">
        <v>129</v>
      </c>
      <c r="L18" s="34" t="s">
        <v>552</v>
      </c>
      <c r="O18" s="34" t="s">
        <v>551</v>
      </c>
      <c r="P18" s="34" t="s">
        <v>550</v>
      </c>
      <c r="R18" s="34" t="s">
        <v>549</v>
      </c>
      <c r="AH18" s="36">
        <v>0.495</v>
      </c>
      <c r="AI18" s="36">
        <v>0.4843046146206505</v>
      </c>
      <c r="AJ18" s="36">
        <v>0.49896536517520945</v>
      </c>
      <c r="AK18" s="36">
        <v>0.53691722803975184</v>
      </c>
      <c r="AL18" s="36">
        <v>0.53299999999999992</v>
      </c>
      <c r="AM18" s="36">
        <v>0.57613131676869522</v>
      </c>
      <c r="AN18" s="36">
        <v>0.56642326992998593</v>
      </c>
      <c r="AO18" s="36">
        <v>0.51512146752602872</v>
      </c>
      <c r="AP18" s="36">
        <f t="shared" si="3"/>
        <v>-5.1301802403957208E-2</v>
      </c>
      <c r="AQ18" s="36"/>
      <c r="AR18" s="36">
        <f t="shared" si="15"/>
        <v>0.505</v>
      </c>
      <c r="AS18" s="36">
        <f t="shared" si="16"/>
        <v>0.51569538537934956</v>
      </c>
      <c r="AT18" s="36">
        <f t="shared" si="17"/>
        <v>0.50103463482479049</v>
      </c>
      <c r="AU18" s="36">
        <f t="shared" si="18"/>
        <v>0.46308277196024816</v>
      </c>
      <c r="AV18" s="36">
        <f t="shared" si="22"/>
        <v>0.46700000000000008</v>
      </c>
      <c r="AW18" s="36">
        <f t="shared" si="19"/>
        <v>0.42386868323130478</v>
      </c>
      <c r="AX18" s="36">
        <f t="shared" si="20"/>
        <v>0.43357673007001407</v>
      </c>
      <c r="AY18" s="36">
        <f t="shared" si="21"/>
        <v>0.48487853247397128</v>
      </c>
      <c r="BA18" s="36">
        <f t="shared" si="5"/>
        <v>0.48399999999999999</v>
      </c>
      <c r="BB18" s="36">
        <v>0.51600000000000001</v>
      </c>
      <c r="BD18" s="36">
        <f t="shared" si="6"/>
        <v>0.44371778705797216</v>
      </c>
      <c r="BE18" s="36">
        <v>0.55628221294202784</v>
      </c>
      <c r="BF18" s="36"/>
      <c r="BH18" s="36">
        <v>0.41399999999999998</v>
      </c>
      <c r="BI18" s="36">
        <v>0.40100000000000002</v>
      </c>
      <c r="BJ18" s="36">
        <v>8.2999999999999963E-2</v>
      </c>
      <c r="BL18" s="41">
        <v>1270.8699999999999</v>
      </c>
      <c r="BN18" s="40">
        <v>38.167200000000001</v>
      </c>
      <c r="BQ18" s="34" t="s">
        <v>548</v>
      </c>
      <c r="BR18" s="34" t="s">
        <v>60</v>
      </c>
      <c r="BS18" s="39">
        <v>1</v>
      </c>
      <c r="CA18"/>
      <c r="CB18"/>
      <c r="CC18"/>
      <c r="CD18"/>
      <c r="CE18"/>
      <c r="CR18" s="34" t="s">
        <v>3</v>
      </c>
      <c r="CS18" s="34" t="s">
        <v>131</v>
      </c>
      <c r="CT18" s="34">
        <f t="shared" si="7"/>
        <v>0</v>
      </c>
      <c r="CU18" s="34">
        <f t="shared" si="8"/>
        <v>0</v>
      </c>
      <c r="CV18" s="34">
        <f t="shared" si="9"/>
        <v>0</v>
      </c>
      <c r="CW18" s="34">
        <f t="shared" si="10"/>
        <v>0</v>
      </c>
      <c r="CX18" s="38">
        <f t="shared" si="11"/>
        <v>0</v>
      </c>
      <c r="CY18" s="36">
        <f t="shared" si="13"/>
        <v>0.54939420000000005</v>
      </c>
      <c r="CZ18" s="37">
        <f t="shared" si="12"/>
        <v>0.98270617906582947</v>
      </c>
      <c r="DA18" s="34" t="str">
        <f t="shared" si="14"/>
        <v/>
      </c>
      <c r="DG18" s="71" t="s">
        <v>68</v>
      </c>
      <c r="DH18" s="39">
        <f>1-CZ70</f>
        <v>0.83325496025733925</v>
      </c>
    </row>
    <row r="19" spans="1:112" s="34" customFormat="1" x14ac:dyDescent="0.25">
      <c r="A19" s="34" t="s">
        <v>431</v>
      </c>
      <c r="B19" s="36" t="s">
        <v>106</v>
      </c>
      <c r="C19" s="34" t="s">
        <v>136</v>
      </c>
      <c r="D19" s="36">
        <v>0.43700000000000006</v>
      </c>
      <c r="E19" s="52">
        <f t="shared" si="0"/>
        <v>0.56299999999999994</v>
      </c>
      <c r="F19" s="36">
        <v>0.44138986509466049</v>
      </c>
      <c r="G19" s="36">
        <f t="shared" si="23"/>
        <v>-4.3898650946604389E-3</v>
      </c>
      <c r="H19" s="42">
        <f t="shared" si="24"/>
        <v>4.3898650946604389E-3</v>
      </c>
      <c r="J19" s="34" t="s">
        <v>547</v>
      </c>
      <c r="L19" s="34" t="s">
        <v>129</v>
      </c>
      <c r="Q19" s="34" t="s">
        <v>546</v>
      </c>
      <c r="R19" s="34" t="s">
        <v>545</v>
      </c>
      <c r="AH19" s="36">
        <v>0.47799999999999998</v>
      </c>
      <c r="AI19" s="36">
        <v>0.40595963877025398</v>
      </c>
      <c r="AJ19" s="36">
        <v>0.41385839912702999</v>
      </c>
      <c r="AK19" s="36">
        <v>0.43202416918429004</v>
      </c>
      <c r="AL19" s="36">
        <v>0.442</v>
      </c>
      <c r="AM19" s="36">
        <v>0.55087465664305335</v>
      </c>
      <c r="AN19" s="36">
        <v>0.53735225269485309</v>
      </c>
      <c r="AO19" s="36">
        <v>0.44138986509466049</v>
      </c>
      <c r="AP19" s="36">
        <f t="shared" si="3"/>
        <v>-9.59623876001926E-2</v>
      </c>
      <c r="AQ19" s="36"/>
      <c r="AR19" s="36">
        <f t="shared" si="15"/>
        <v>0.52200000000000002</v>
      </c>
      <c r="AS19" s="36">
        <f t="shared" si="16"/>
        <v>0.59404036122974602</v>
      </c>
      <c r="AT19" s="36">
        <f t="shared" si="17"/>
        <v>0.58614160087297007</v>
      </c>
      <c r="AU19" s="36">
        <f t="shared" si="18"/>
        <v>0.5679758308157099</v>
      </c>
      <c r="AV19" s="36">
        <f t="shared" si="22"/>
        <v>0.55800000000000005</v>
      </c>
      <c r="AW19" s="36">
        <f t="shared" si="19"/>
        <v>0.44912534335694665</v>
      </c>
      <c r="AX19" s="36">
        <f t="shared" si="20"/>
        <v>0.46264774730514691</v>
      </c>
      <c r="AY19" s="36">
        <f t="shared" si="21"/>
        <v>0.55861013490533951</v>
      </c>
      <c r="BA19" s="36">
        <f t="shared" si="5"/>
        <v>0.56299999999999994</v>
      </c>
      <c r="BB19" s="36">
        <v>0.43700000000000006</v>
      </c>
      <c r="BD19" s="36">
        <f t="shared" si="6"/>
        <v>0.51377241924532047</v>
      </c>
      <c r="BE19" s="36">
        <v>0.48622758075467953</v>
      </c>
      <c r="BF19" s="36"/>
      <c r="BH19" s="36">
        <v>0.69799999999999995</v>
      </c>
      <c r="BI19" s="36">
        <v>0.32100000000000001</v>
      </c>
      <c r="BJ19" s="36">
        <v>0.31100000000000005</v>
      </c>
      <c r="BL19" s="41">
        <v>2031.5</v>
      </c>
      <c r="BN19" s="40">
        <v>37.4236</v>
      </c>
      <c r="BQ19" s="34" t="s">
        <v>541</v>
      </c>
      <c r="BR19" s="34" t="s">
        <v>55</v>
      </c>
      <c r="BS19" s="39">
        <v>0.52392369803603545</v>
      </c>
      <c r="CA19"/>
      <c r="CB19"/>
      <c r="CC19"/>
      <c r="CD19"/>
      <c r="CE19"/>
      <c r="CR19" s="34" t="s">
        <v>136</v>
      </c>
      <c r="CS19" s="34" t="s">
        <v>197</v>
      </c>
      <c r="CT19" s="34">
        <f t="shared" si="7"/>
        <v>0</v>
      </c>
      <c r="CU19" s="34">
        <f t="shared" si="8"/>
        <v>1</v>
      </c>
      <c r="CV19" s="34">
        <f t="shared" si="9"/>
        <v>0</v>
      </c>
      <c r="CW19" s="34">
        <f t="shared" si="10"/>
        <v>0</v>
      </c>
      <c r="CX19" s="38">
        <f t="shared" si="11"/>
        <v>8.9999999999999993E-3</v>
      </c>
      <c r="CY19" s="36">
        <f t="shared" si="13"/>
        <v>0.46139420000000009</v>
      </c>
      <c r="CZ19" s="37">
        <f t="shared" si="12"/>
        <v>4.9306994261523851E-2</v>
      </c>
      <c r="DA19" s="34" t="str">
        <f t="shared" si="14"/>
        <v/>
      </c>
      <c r="DG19" s="71" t="s">
        <v>49</v>
      </c>
      <c r="DH19" s="39">
        <f>1-CZ78</f>
        <v>0.8537540402728353</v>
      </c>
    </row>
    <row r="20" spans="1:112" s="34" customFormat="1" x14ac:dyDescent="0.25">
      <c r="A20" s="34" t="s">
        <v>421</v>
      </c>
      <c r="B20" s="36" t="s">
        <v>223</v>
      </c>
      <c r="C20" s="34" t="s">
        <v>136</v>
      </c>
      <c r="D20" s="36">
        <v>0.49700000000000005</v>
      </c>
      <c r="E20" s="52">
        <f t="shared" si="0"/>
        <v>0.50299999999999989</v>
      </c>
      <c r="F20" s="36">
        <v>0.47962772004970783</v>
      </c>
      <c r="G20" s="36">
        <f t="shared" si="23"/>
        <v>1.7372279950292224E-2</v>
      </c>
      <c r="H20" s="42">
        <f t="shared" si="24"/>
        <v>-1.7372279950292224E-2</v>
      </c>
      <c r="J20" s="34" t="s">
        <v>544</v>
      </c>
      <c r="L20" s="34" t="s">
        <v>129</v>
      </c>
      <c r="Q20" s="34" t="s">
        <v>543</v>
      </c>
      <c r="R20" s="34" t="s">
        <v>542</v>
      </c>
      <c r="AH20" s="36">
        <v>0.56600000000000006</v>
      </c>
      <c r="AI20" s="36">
        <v>0.50725203252032525</v>
      </c>
      <c r="AJ20" s="36">
        <v>0.4915588753264104</v>
      </c>
      <c r="AK20" s="36">
        <v>0.50176902056666184</v>
      </c>
      <c r="AL20" s="36">
        <v>0.51600000000000001</v>
      </c>
      <c r="AM20" s="36">
        <v>0.62132144074536988</v>
      </c>
      <c r="AN20" s="36">
        <v>0.56707629288274453</v>
      </c>
      <c r="AO20" s="36">
        <v>0.47962772004970783</v>
      </c>
      <c r="AP20" s="36">
        <f t="shared" si="3"/>
        <v>-8.7448572833036697E-2</v>
      </c>
      <c r="AQ20" s="36"/>
      <c r="AR20" s="36">
        <f t="shared" si="15"/>
        <v>0.43399999999999994</v>
      </c>
      <c r="AS20" s="36">
        <f t="shared" si="16"/>
        <v>0.49274796747967475</v>
      </c>
      <c r="AT20" s="36">
        <f t="shared" si="17"/>
        <v>0.5084411246735896</v>
      </c>
      <c r="AU20" s="36">
        <f t="shared" si="18"/>
        <v>0.49823097943333816</v>
      </c>
      <c r="AV20" s="36">
        <f t="shared" si="22"/>
        <v>0.48399999999999999</v>
      </c>
      <c r="AW20" s="36">
        <f t="shared" si="19"/>
        <v>0.37867855925463012</v>
      </c>
      <c r="AX20" s="36">
        <f t="shared" si="20"/>
        <v>0.43292370711725547</v>
      </c>
      <c r="AY20" s="36">
        <f t="shared" si="21"/>
        <v>0.52037227995029212</v>
      </c>
      <c r="BA20" s="36">
        <f t="shared" si="5"/>
        <v>0.50299999999999989</v>
      </c>
      <c r="BB20" s="36">
        <v>0.49700000000000005</v>
      </c>
      <c r="BD20" s="36">
        <f t="shared" si="6"/>
        <v>0.47838156360641071</v>
      </c>
      <c r="BE20" s="36">
        <v>0.52161843639358929</v>
      </c>
      <c r="BF20" s="36"/>
      <c r="BH20" s="36">
        <v>0.45400000000000001</v>
      </c>
      <c r="BI20" s="36">
        <v>0.44500000000000001</v>
      </c>
      <c r="BJ20" s="36">
        <v>0.18200000000000005</v>
      </c>
      <c r="BL20" s="41">
        <v>1517.2</v>
      </c>
      <c r="BN20" s="40">
        <v>37.619300000000003</v>
      </c>
      <c r="BQ20" s="34" t="s">
        <v>541</v>
      </c>
      <c r="BR20" s="34" t="s">
        <v>52</v>
      </c>
      <c r="BS20" s="39">
        <v>0.47607630196396461</v>
      </c>
      <c r="CA20"/>
      <c r="CB20"/>
      <c r="CC20"/>
      <c r="CD20"/>
      <c r="CE20"/>
      <c r="CR20" s="34" t="s">
        <v>136</v>
      </c>
      <c r="CS20" s="34" t="s">
        <v>197</v>
      </c>
      <c r="CT20" s="34">
        <f t="shared" si="7"/>
        <v>0</v>
      </c>
      <c r="CU20" s="34">
        <f t="shared" si="8"/>
        <v>1</v>
      </c>
      <c r="CV20" s="34">
        <f t="shared" si="9"/>
        <v>0</v>
      </c>
      <c r="CW20" s="34">
        <f t="shared" si="10"/>
        <v>0</v>
      </c>
      <c r="CX20" s="38">
        <f t="shared" si="11"/>
        <v>8.9999999999999993E-3</v>
      </c>
      <c r="CY20" s="36">
        <f t="shared" si="13"/>
        <v>0.52139420000000003</v>
      </c>
      <c r="CZ20" s="37">
        <f t="shared" si="12"/>
        <v>0.81997609267494354</v>
      </c>
      <c r="DA20" s="34" t="str">
        <f t="shared" si="14"/>
        <v>ALP GAIN</v>
      </c>
    </row>
    <row r="21" spans="1:112" s="34" customFormat="1" x14ac:dyDescent="0.25">
      <c r="A21" s="34" t="s">
        <v>411</v>
      </c>
      <c r="B21" s="36" t="s">
        <v>106</v>
      </c>
      <c r="C21" s="34" t="s">
        <v>136</v>
      </c>
      <c r="D21" s="36">
        <v>0.40200000000000002</v>
      </c>
      <c r="E21" s="52">
        <f t="shared" si="0"/>
        <v>0.59799999999999998</v>
      </c>
      <c r="F21" s="36">
        <v>0.38471113269983909</v>
      </c>
      <c r="G21" s="36">
        <f t="shared" si="23"/>
        <v>1.7288867300160937E-2</v>
      </c>
      <c r="H21" s="42">
        <f t="shared" si="24"/>
        <v>-1.7288867300160937E-2</v>
      </c>
      <c r="J21" s="34" t="s">
        <v>540</v>
      </c>
      <c r="L21" s="34" t="s">
        <v>129</v>
      </c>
      <c r="Q21" s="34" t="s">
        <v>539</v>
      </c>
      <c r="R21" s="34" t="s">
        <v>538</v>
      </c>
      <c r="AH21" s="36">
        <v>0.45799999999999996</v>
      </c>
      <c r="AI21" s="36">
        <v>0.36067792241268204</v>
      </c>
      <c r="AJ21" s="36">
        <v>0.40689612859684643</v>
      </c>
      <c r="AK21" s="36">
        <v>0.41534236430400839</v>
      </c>
      <c r="AL21" s="36">
        <v>0.41899999999999998</v>
      </c>
      <c r="AM21" s="36">
        <v>0.47747351211997358</v>
      </c>
      <c r="AN21" s="36">
        <v>0.42366723047046295</v>
      </c>
      <c r="AO21" s="36">
        <v>0.38471113269983909</v>
      </c>
      <c r="AP21" s="36">
        <f t="shared" si="3"/>
        <v>-3.8956097770623865E-2</v>
      </c>
      <c r="AQ21" s="36"/>
      <c r="AR21" s="36">
        <f t="shared" si="15"/>
        <v>0.54200000000000004</v>
      </c>
      <c r="AS21" s="36">
        <f t="shared" si="16"/>
        <v>0.63932207758731796</v>
      </c>
      <c r="AT21" s="36">
        <f t="shared" si="17"/>
        <v>0.59310387140315357</v>
      </c>
      <c r="AU21" s="36">
        <f t="shared" si="18"/>
        <v>0.58465763569599161</v>
      </c>
      <c r="AV21" s="36">
        <f t="shared" si="22"/>
        <v>0.58099999999999996</v>
      </c>
      <c r="AW21" s="36">
        <f t="shared" si="19"/>
        <v>0.52252648788002642</v>
      </c>
      <c r="AX21" s="36">
        <f t="shared" si="20"/>
        <v>0.57633276952953705</v>
      </c>
      <c r="AY21" s="36">
        <f t="shared" si="21"/>
        <v>0.61528886730016086</v>
      </c>
      <c r="BA21" s="36">
        <f t="shared" si="5"/>
        <v>0.59799999999999998</v>
      </c>
      <c r="BB21" s="36">
        <v>0.40200000000000002</v>
      </c>
      <c r="BD21" s="36">
        <f t="shared" si="6"/>
        <v>0.54073307400180104</v>
      </c>
      <c r="BE21" s="36">
        <v>0.45926692599819896</v>
      </c>
      <c r="BF21" s="36"/>
      <c r="BH21" s="36">
        <v>0.73899999999999999</v>
      </c>
      <c r="BI21" s="36">
        <v>0.27400000000000002</v>
      </c>
      <c r="BJ21" s="36">
        <v>0.33399999999999996</v>
      </c>
      <c r="BL21" s="41">
        <v>2085.4</v>
      </c>
      <c r="BN21" s="40">
        <v>36.637599999999999</v>
      </c>
      <c r="BQ21" s="34" t="s">
        <v>530</v>
      </c>
      <c r="BR21" s="34" t="s">
        <v>76</v>
      </c>
      <c r="BS21" s="39">
        <v>0.46106903674031419</v>
      </c>
      <c r="CA21"/>
      <c r="CB21"/>
      <c r="CC21"/>
      <c r="CD21"/>
      <c r="CE21"/>
      <c r="CR21" s="34" t="s">
        <v>136</v>
      </c>
      <c r="CS21" s="34" t="s">
        <v>537</v>
      </c>
      <c r="CT21" s="34">
        <f t="shared" si="7"/>
        <v>0</v>
      </c>
      <c r="CU21" s="34">
        <f t="shared" si="8"/>
        <v>0</v>
      </c>
      <c r="CV21" s="34">
        <f t="shared" si="9"/>
        <v>1</v>
      </c>
      <c r="CW21" s="34">
        <f t="shared" si="10"/>
        <v>0</v>
      </c>
      <c r="CX21" s="38">
        <f t="shared" si="11"/>
        <v>5.0000000000000001E-3</v>
      </c>
      <c r="CY21" s="36">
        <f t="shared" si="13"/>
        <v>0.43039420000000006</v>
      </c>
      <c r="CZ21" s="37">
        <f t="shared" si="12"/>
        <v>1.4514654685682249E-3</v>
      </c>
      <c r="DA21" s="34" t="str">
        <f t="shared" si="14"/>
        <v/>
      </c>
    </row>
    <row r="22" spans="1:112" s="34" customFormat="1" x14ac:dyDescent="0.25">
      <c r="A22" s="34" t="s">
        <v>396</v>
      </c>
      <c r="B22" s="36" t="s">
        <v>223</v>
      </c>
      <c r="C22" s="34" t="s">
        <v>3</v>
      </c>
      <c r="D22" s="36">
        <v>0.624</v>
      </c>
      <c r="E22" s="42">
        <f t="shared" si="0"/>
        <v>0.376</v>
      </c>
      <c r="F22" s="36">
        <v>0.6531164383561644</v>
      </c>
      <c r="G22" s="36">
        <f t="shared" si="23"/>
        <v>-2.9116438356164398E-2</v>
      </c>
      <c r="H22" s="42">
        <f t="shared" si="24"/>
        <v>2.9116438356164398E-2</v>
      </c>
      <c r="J22" s="34" t="s">
        <v>129</v>
      </c>
      <c r="L22" s="34" t="s">
        <v>536</v>
      </c>
      <c r="O22" s="34" t="s">
        <v>535</v>
      </c>
      <c r="R22" s="34" t="s">
        <v>534</v>
      </c>
      <c r="AH22" s="36">
        <v>0.61</v>
      </c>
      <c r="AI22" s="36">
        <v>0.58222296618680947</v>
      </c>
      <c r="AJ22" s="36">
        <v>0.59464413308894348</v>
      </c>
      <c r="AK22" s="36">
        <v>0.616940698318862</v>
      </c>
      <c r="AL22" s="36">
        <v>0.61899999999999999</v>
      </c>
      <c r="AM22" s="36">
        <v>0.73827509196006302</v>
      </c>
      <c r="AN22" s="36">
        <v>0.70269179004037685</v>
      </c>
      <c r="AO22" s="36">
        <v>0.6531164383561644</v>
      </c>
      <c r="AP22" s="36">
        <f t="shared" si="3"/>
        <v>-4.9575351684212454E-2</v>
      </c>
      <c r="AQ22" s="36"/>
      <c r="AR22" s="36">
        <f t="shared" si="15"/>
        <v>0.39</v>
      </c>
      <c r="AS22" s="36">
        <f t="shared" si="16"/>
        <v>0.41777703381319053</v>
      </c>
      <c r="AT22" s="36">
        <f t="shared" si="17"/>
        <v>0.40535586691105652</v>
      </c>
      <c r="AU22" s="36">
        <f t="shared" si="18"/>
        <v>0.383059301681138</v>
      </c>
      <c r="AV22" s="36">
        <f t="shared" si="22"/>
        <v>0.38100000000000001</v>
      </c>
      <c r="AW22" s="36">
        <f t="shared" si="19"/>
        <v>0.26172490803993698</v>
      </c>
      <c r="AX22" s="36">
        <f t="shared" si="20"/>
        <v>0.29730820995962315</v>
      </c>
      <c r="AY22" s="36">
        <f t="shared" si="21"/>
        <v>0.3468835616438356</v>
      </c>
      <c r="BA22" s="36">
        <f t="shared" si="5"/>
        <v>0.376</v>
      </c>
      <c r="BB22" s="36">
        <v>0.624</v>
      </c>
      <c r="BD22" s="36">
        <f t="shared" si="6"/>
        <v>0.37786836893688802</v>
      </c>
      <c r="BE22" s="36">
        <v>0.62213163106311198</v>
      </c>
      <c r="BF22" s="36"/>
      <c r="BH22" s="36">
        <v>0.57299999999999995</v>
      </c>
      <c r="BI22" s="36">
        <v>0.27900000000000003</v>
      </c>
      <c r="BJ22" s="36">
        <v>0.59000000000000008</v>
      </c>
      <c r="BL22" s="41">
        <v>1276.47</v>
      </c>
      <c r="BN22" s="40">
        <v>36.751600000000003</v>
      </c>
      <c r="BQ22" s="34" t="s">
        <v>530</v>
      </c>
      <c r="BR22" s="34" t="s">
        <v>64</v>
      </c>
      <c r="BS22" s="39">
        <v>0.31215184327470741</v>
      </c>
      <c r="CA22"/>
      <c r="CB22"/>
      <c r="CC22"/>
      <c r="CD22"/>
      <c r="CE22"/>
      <c r="CR22" s="34" t="s">
        <v>3</v>
      </c>
      <c r="CS22" s="34" t="s">
        <v>131</v>
      </c>
      <c r="CT22" s="34">
        <f t="shared" si="7"/>
        <v>0</v>
      </c>
      <c r="CU22" s="34">
        <f t="shared" si="8"/>
        <v>0</v>
      </c>
      <c r="CV22" s="34">
        <f t="shared" si="9"/>
        <v>0</v>
      </c>
      <c r="CW22" s="34">
        <f t="shared" si="10"/>
        <v>0</v>
      </c>
      <c r="CX22" s="38">
        <f t="shared" si="11"/>
        <v>0</v>
      </c>
      <c r="CY22" s="36">
        <f t="shared" si="13"/>
        <v>0.65739420000000004</v>
      </c>
      <c r="CZ22" s="37">
        <f t="shared" si="12"/>
        <v>0.99999999999172107</v>
      </c>
      <c r="DA22" s="34" t="str">
        <f t="shared" si="14"/>
        <v/>
      </c>
    </row>
    <row r="23" spans="1:112" s="34" customFormat="1" x14ac:dyDescent="0.25">
      <c r="A23" s="34" t="s">
        <v>379</v>
      </c>
      <c r="B23" s="36" t="s">
        <v>223</v>
      </c>
      <c r="C23" s="34" t="s">
        <v>3</v>
      </c>
      <c r="D23" s="36">
        <v>0.51100000000000001</v>
      </c>
      <c r="E23" s="42">
        <f t="shared" si="0"/>
        <v>0.48899999999999999</v>
      </c>
      <c r="F23" s="36">
        <v>0.5184946544482627</v>
      </c>
      <c r="G23" s="36">
        <f t="shared" si="23"/>
        <v>-7.4946544482626942E-3</v>
      </c>
      <c r="H23" s="42">
        <f t="shared" si="24"/>
        <v>7.4946544482626942E-3</v>
      </c>
      <c r="J23" s="34" t="s">
        <v>129</v>
      </c>
      <c r="L23" s="34" t="s">
        <v>533</v>
      </c>
      <c r="O23" s="34" t="s">
        <v>532</v>
      </c>
      <c r="R23" s="50" t="s">
        <v>531</v>
      </c>
      <c r="AH23" s="36">
        <v>0.51400000000000001</v>
      </c>
      <c r="AI23" s="36">
        <v>0.45122506011568209</v>
      </c>
      <c r="AJ23" s="36">
        <v>0.40948239347132409</v>
      </c>
      <c r="AK23" s="36">
        <v>0.44300676123558264</v>
      </c>
      <c r="AL23" s="36">
        <v>0.51400000000000001</v>
      </c>
      <c r="AM23" s="36">
        <v>0.60748670082569112</v>
      </c>
      <c r="AN23" s="36">
        <v>0.61286265302699983</v>
      </c>
      <c r="AO23" s="36">
        <v>0.5184946544482627</v>
      </c>
      <c r="AP23" s="36">
        <f t="shared" si="3"/>
        <v>-9.4367998578737122E-2</v>
      </c>
      <c r="AQ23" s="36"/>
      <c r="AR23" s="36">
        <f t="shared" si="15"/>
        <v>0.48599999999999999</v>
      </c>
      <c r="AS23" s="36">
        <f t="shared" si="16"/>
        <v>0.54877493988431791</v>
      </c>
      <c r="AT23" s="36">
        <f t="shared" si="17"/>
        <v>0.59051760652867591</v>
      </c>
      <c r="AU23" s="36">
        <f t="shared" si="18"/>
        <v>0.55699323876441742</v>
      </c>
      <c r="AV23" s="36">
        <f t="shared" si="22"/>
        <v>0.48599999999999999</v>
      </c>
      <c r="AW23" s="36">
        <f t="shared" si="19"/>
        <v>0.39251329917430888</v>
      </c>
      <c r="AX23" s="36">
        <f t="shared" si="20"/>
        <v>0.38713734697300017</v>
      </c>
      <c r="AY23" s="36">
        <f t="shared" si="21"/>
        <v>0.4815053455517373</v>
      </c>
      <c r="BA23" s="36">
        <f t="shared" si="5"/>
        <v>0.48899999999999999</v>
      </c>
      <c r="BB23" s="36">
        <v>0.51100000000000001</v>
      </c>
      <c r="BD23" s="36">
        <f t="shared" si="6"/>
        <v>0.43202492112511393</v>
      </c>
      <c r="BE23" s="36">
        <v>0.56797507887488607</v>
      </c>
      <c r="BF23" s="36"/>
      <c r="BH23" s="36">
        <v>0.45</v>
      </c>
      <c r="BI23" s="36">
        <v>0.57399999999999995</v>
      </c>
      <c r="BJ23" s="36">
        <v>0.29300000000000004</v>
      </c>
      <c r="BL23" s="41">
        <v>1414.96</v>
      </c>
      <c r="BN23" s="40">
        <v>32.866700000000002</v>
      </c>
      <c r="BQ23" s="34" t="s">
        <v>530</v>
      </c>
      <c r="BR23" s="34" t="s">
        <v>142</v>
      </c>
      <c r="BS23" s="39">
        <v>0.22677911998497841</v>
      </c>
      <c r="BU23" s="55"/>
      <c r="CA23"/>
      <c r="CB23"/>
      <c r="CC23"/>
      <c r="CD23"/>
      <c r="CE23"/>
      <c r="CR23" s="34" t="s">
        <v>3</v>
      </c>
      <c r="CS23" s="34" t="s">
        <v>131</v>
      </c>
      <c r="CT23" s="34">
        <f t="shared" si="7"/>
        <v>0</v>
      </c>
      <c r="CU23" s="34">
        <f t="shared" si="8"/>
        <v>0</v>
      </c>
      <c r="CV23" s="34">
        <f t="shared" si="9"/>
        <v>0</v>
      </c>
      <c r="CW23" s="34">
        <f t="shared" si="10"/>
        <v>0</v>
      </c>
      <c r="CX23" s="38">
        <f t="shared" si="11"/>
        <v>0</v>
      </c>
      <c r="CY23" s="36">
        <f t="shared" si="13"/>
        <v>0.54439420000000005</v>
      </c>
      <c r="CZ23" s="37">
        <f t="shared" si="12"/>
        <v>0.97123395317573169</v>
      </c>
      <c r="DA23" s="34" t="str">
        <f t="shared" si="14"/>
        <v/>
      </c>
    </row>
    <row r="24" spans="1:112" s="34" customFormat="1" x14ac:dyDescent="0.25">
      <c r="A24" s="34" t="s">
        <v>366</v>
      </c>
      <c r="B24" s="36" t="s">
        <v>94</v>
      </c>
      <c r="C24" s="34" t="s">
        <v>136</v>
      </c>
      <c r="D24" s="36">
        <v>0.37799999999999995</v>
      </c>
      <c r="E24" s="52">
        <f t="shared" si="0"/>
        <v>0.62200000000000011</v>
      </c>
      <c r="F24" s="36">
        <v>0.39598634812286687</v>
      </c>
      <c r="G24" s="36">
        <f t="shared" si="23"/>
        <v>-1.7986348122866924E-2</v>
      </c>
      <c r="H24" s="42">
        <f t="shared" si="24"/>
        <v>1.7986348122866924E-2</v>
      </c>
      <c r="J24" s="34" t="s">
        <v>529</v>
      </c>
      <c r="L24" s="34" t="s">
        <v>129</v>
      </c>
      <c r="Q24" s="34" t="s">
        <v>528</v>
      </c>
      <c r="R24" s="34" t="s">
        <v>527</v>
      </c>
      <c r="U24" s="34" t="s">
        <v>523</v>
      </c>
      <c r="V24" s="34" t="s">
        <v>522</v>
      </c>
      <c r="AG24" s="34" t="s">
        <v>526</v>
      </c>
      <c r="AH24" s="36">
        <v>0.51900000000000002</v>
      </c>
      <c r="AI24" s="36">
        <v>0.3977908133511715</v>
      </c>
      <c r="AJ24" s="36">
        <v>0.37740075770054354</v>
      </c>
      <c r="AK24" s="36">
        <v>0.39144675276062135</v>
      </c>
      <c r="AL24" s="36">
        <v>0.42200000000000004</v>
      </c>
      <c r="AM24" s="36">
        <v>0.52087802297904851</v>
      </c>
      <c r="AN24" s="36">
        <v>0.49646066279506518</v>
      </c>
      <c r="AO24" s="36">
        <v>0.39598634812286687</v>
      </c>
      <c r="AP24" s="36">
        <f t="shared" si="3"/>
        <v>-0.10047431467219831</v>
      </c>
      <c r="AQ24" s="36"/>
      <c r="AR24" s="36">
        <f t="shared" si="15"/>
        <v>0.48099999999999998</v>
      </c>
      <c r="AS24" s="36">
        <f t="shared" si="16"/>
        <v>0.6022091866488285</v>
      </c>
      <c r="AT24" s="36">
        <f t="shared" si="17"/>
        <v>0.6225992422994564</v>
      </c>
      <c r="AU24" s="36">
        <f t="shared" si="18"/>
        <v>0.60855324723937865</v>
      </c>
      <c r="AV24" s="36">
        <f t="shared" si="22"/>
        <v>0.57799999999999996</v>
      </c>
      <c r="AW24" s="36">
        <f t="shared" si="19"/>
        <v>0.47912197702095149</v>
      </c>
      <c r="AX24" s="36">
        <f t="shared" si="20"/>
        <v>0.50353933720493482</v>
      </c>
      <c r="AY24" s="36">
        <f t="shared" si="21"/>
        <v>0.60401365187713307</v>
      </c>
      <c r="BA24" s="36">
        <f t="shared" si="5"/>
        <v>0.62200000000000011</v>
      </c>
      <c r="BB24" s="36">
        <v>0.37799999999999995</v>
      </c>
      <c r="BD24" s="36">
        <f t="shared" si="6"/>
        <v>0.56337094705133561</v>
      </c>
      <c r="BE24" s="36">
        <v>0.43662905294866439</v>
      </c>
      <c r="BF24" s="36"/>
      <c r="BH24" s="36">
        <v>0.496</v>
      </c>
      <c r="BI24" s="36">
        <v>0.40699999999999997</v>
      </c>
      <c r="BJ24" s="36">
        <v>0.13</v>
      </c>
      <c r="BL24" s="41">
        <v>1590.9</v>
      </c>
      <c r="BN24" s="40">
        <v>39.135300000000001</v>
      </c>
      <c r="BQ24" s="34" t="s">
        <v>517</v>
      </c>
      <c r="BR24" s="34" t="s">
        <v>55</v>
      </c>
      <c r="BS24" s="39">
        <v>0.75255744745607955</v>
      </c>
      <c r="CA24" t="s">
        <v>525</v>
      </c>
      <c r="CB24" t="s">
        <v>524</v>
      </c>
      <c r="CC24"/>
      <c r="CD24"/>
      <c r="CE24"/>
      <c r="CK24" s="34" t="s">
        <v>523</v>
      </c>
      <c r="CL24" s="34" t="s">
        <v>522</v>
      </c>
      <c r="CR24" s="34" t="s">
        <v>136</v>
      </c>
      <c r="CS24" s="34" t="s">
        <v>155</v>
      </c>
      <c r="CT24" s="34">
        <f t="shared" si="7"/>
        <v>0</v>
      </c>
      <c r="CU24" s="34">
        <f t="shared" si="8"/>
        <v>0</v>
      </c>
      <c r="CV24" s="34">
        <f t="shared" si="9"/>
        <v>0</v>
      </c>
      <c r="CW24" s="34">
        <f t="shared" si="10"/>
        <v>0</v>
      </c>
      <c r="CX24" s="38">
        <f t="shared" si="11"/>
        <v>0</v>
      </c>
      <c r="CY24" s="36">
        <f t="shared" si="13"/>
        <v>0.41139419999999999</v>
      </c>
      <c r="CZ24" s="37">
        <f t="shared" si="12"/>
        <v>7.5117460818674431E-5</v>
      </c>
      <c r="DA24" s="34" t="str">
        <f t="shared" si="14"/>
        <v/>
      </c>
    </row>
    <row r="25" spans="1:112" s="34" customFormat="1" x14ac:dyDescent="0.25">
      <c r="A25" s="34" t="s">
        <v>342</v>
      </c>
      <c r="B25" s="36" t="s">
        <v>223</v>
      </c>
      <c r="C25" s="34" t="s">
        <v>3</v>
      </c>
      <c r="D25" s="36">
        <v>0.64</v>
      </c>
      <c r="E25" s="42">
        <f t="shared" si="0"/>
        <v>0.36</v>
      </c>
      <c r="F25" s="36">
        <v>0.63865688296757173</v>
      </c>
      <c r="G25" s="36">
        <f t="shared" si="23"/>
        <v>1.3431170324282871E-3</v>
      </c>
      <c r="H25" s="42">
        <f t="shared" si="24"/>
        <v>-1.3431170324282871E-3</v>
      </c>
      <c r="J25" s="34" t="s">
        <v>129</v>
      </c>
      <c r="O25" s="34" t="s">
        <v>521</v>
      </c>
      <c r="Q25" s="34" t="s">
        <v>520</v>
      </c>
      <c r="R25" s="34" t="s">
        <v>519</v>
      </c>
      <c r="AD25" s="34" t="s">
        <v>518</v>
      </c>
      <c r="AH25" s="36">
        <v>0.61199999999999999</v>
      </c>
      <c r="AI25" s="36">
        <v>0.52612563482054608</v>
      </c>
      <c r="AJ25" s="36">
        <v>0.53242869011354199</v>
      </c>
      <c r="AK25" s="36">
        <v>0.55832086129483904</v>
      </c>
      <c r="AL25" s="36">
        <v>0.61799999999999999</v>
      </c>
      <c r="AM25" s="36">
        <v>0.70300065231572084</v>
      </c>
      <c r="AN25" s="36">
        <v>0.68665139026642497</v>
      </c>
      <c r="AO25" s="36">
        <v>0.63865688296757173</v>
      </c>
      <c r="AP25" s="36">
        <f t="shared" si="3"/>
        <v>-4.799450729885324E-2</v>
      </c>
      <c r="AQ25" s="36"/>
      <c r="AR25" s="36">
        <f t="shared" si="15"/>
        <v>0.38800000000000001</v>
      </c>
      <c r="AS25" s="36">
        <f t="shared" si="16"/>
        <v>0.47387436517945392</v>
      </c>
      <c r="AT25" s="36">
        <f t="shared" si="17"/>
        <v>0.46757130988645801</v>
      </c>
      <c r="AU25" s="36">
        <f t="shared" si="18"/>
        <v>0.44167913870516096</v>
      </c>
      <c r="AV25" s="36">
        <f t="shared" si="22"/>
        <v>0.38200000000000001</v>
      </c>
      <c r="AW25" s="36">
        <f t="shared" si="19"/>
        <v>0.29699934768427916</v>
      </c>
      <c r="AX25" s="36">
        <f t="shared" si="20"/>
        <v>0.31334860973357503</v>
      </c>
      <c r="AY25" s="36">
        <f t="shared" si="21"/>
        <v>0.36134311703242827</v>
      </c>
      <c r="BA25" s="36">
        <f t="shared" si="5"/>
        <v>0.36</v>
      </c>
      <c r="BB25" s="36">
        <v>0.64</v>
      </c>
      <c r="BD25" s="36">
        <f t="shared" si="6"/>
        <v>0.37689776244112405</v>
      </c>
      <c r="BE25" s="36">
        <v>0.62310223755887595</v>
      </c>
      <c r="BF25" s="36"/>
      <c r="BH25" s="36">
        <v>0.48499999999999999</v>
      </c>
      <c r="BI25" s="36">
        <v>0.29599999999999999</v>
      </c>
      <c r="BJ25" s="36">
        <v>0.61399999999999999</v>
      </c>
      <c r="BL25" s="41">
        <v>1064.79</v>
      </c>
      <c r="BN25" s="40">
        <v>35.188899999999997</v>
      </c>
      <c r="BQ25" s="34" t="s">
        <v>517</v>
      </c>
      <c r="BR25" s="34" t="s">
        <v>67</v>
      </c>
      <c r="BS25" s="39">
        <v>0.24744255254392047</v>
      </c>
      <c r="CA25"/>
      <c r="CB25"/>
      <c r="CC25"/>
      <c r="CD25"/>
      <c r="CE25"/>
      <c r="CR25" s="34" t="s">
        <v>3</v>
      </c>
      <c r="CS25" s="34" t="s">
        <v>120</v>
      </c>
      <c r="CT25" s="34">
        <f t="shared" si="7"/>
        <v>1</v>
      </c>
      <c r="CU25" s="34">
        <f t="shared" si="8"/>
        <v>0</v>
      </c>
      <c r="CV25" s="34">
        <f t="shared" si="9"/>
        <v>0</v>
      </c>
      <c r="CW25" s="34">
        <f t="shared" si="10"/>
        <v>0</v>
      </c>
      <c r="CX25" s="38">
        <f t="shared" si="11"/>
        <v>-0.01</v>
      </c>
      <c r="CY25" s="36">
        <f t="shared" si="13"/>
        <v>0.66339420000000004</v>
      </c>
      <c r="CZ25" s="37">
        <f t="shared" si="12"/>
        <v>0.99999999999862788</v>
      </c>
      <c r="DA25" s="34" t="str">
        <f t="shared" si="14"/>
        <v/>
      </c>
    </row>
    <row r="26" spans="1:112" s="34" customFormat="1" x14ac:dyDescent="0.25">
      <c r="A26" s="34" t="s">
        <v>322</v>
      </c>
      <c r="B26" s="36" t="s">
        <v>110</v>
      </c>
      <c r="C26" s="34" t="s">
        <v>136</v>
      </c>
      <c r="D26" s="36">
        <v>0.42299999999999999</v>
      </c>
      <c r="E26" s="52">
        <f t="shared" si="0"/>
        <v>0.57699999999999996</v>
      </c>
      <c r="F26" s="36">
        <v>0.48768580988426308</v>
      </c>
      <c r="G26" s="36">
        <f t="shared" si="23"/>
        <v>-6.468580988426309E-2</v>
      </c>
      <c r="H26" s="42">
        <f t="shared" si="24"/>
        <v>6.468580988426309E-2</v>
      </c>
      <c r="J26" s="34" t="s">
        <v>516</v>
      </c>
      <c r="L26" s="34" t="s">
        <v>129</v>
      </c>
      <c r="P26" s="34" t="s">
        <v>515</v>
      </c>
      <c r="Q26" s="34" t="s">
        <v>514</v>
      </c>
      <c r="R26" s="34" t="s">
        <v>513</v>
      </c>
      <c r="S26" s="34" t="s">
        <v>509</v>
      </c>
      <c r="V26" s="34" t="s">
        <v>508</v>
      </c>
      <c r="AG26" s="34" t="s">
        <v>512</v>
      </c>
      <c r="AH26" s="36">
        <v>0.47200000000000003</v>
      </c>
      <c r="AI26" s="36">
        <v>0.38900627044711011</v>
      </c>
      <c r="AJ26" s="36">
        <v>0.45754853665604173</v>
      </c>
      <c r="AK26" s="36">
        <v>0.50702512012651302</v>
      </c>
      <c r="AL26" s="36">
        <v>0.50029999999999997</v>
      </c>
      <c r="AM26" s="36">
        <v>0.59483946007162314</v>
      </c>
      <c r="AN26" s="36">
        <v>0.56664634323374852</v>
      </c>
      <c r="AO26" s="36">
        <v>0.48768580988426308</v>
      </c>
      <c r="AP26" s="36">
        <f t="shared" si="3"/>
        <v>-7.896053334948544E-2</v>
      </c>
      <c r="AQ26" s="36"/>
      <c r="AR26" s="36">
        <f t="shared" si="15"/>
        <v>0.52800000000000002</v>
      </c>
      <c r="AS26" s="36">
        <f t="shared" si="16"/>
        <v>0.61099372955288989</v>
      </c>
      <c r="AT26" s="36">
        <f t="shared" si="17"/>
        <v>0.54245146334395833</v>
      </c>
      <c r="AU26" s="36">
        <f t="shared" si="18"/>
        <v>0.49297487987348698</v>
      </c>
      <c r="AV26" s="36">
        <f t="shared" si="22"/>
        <v>0.49970000000000003</v>
      </c>
      <c r="AW26" s="36">
        <f t="shared" si="19"/>
        <v>0.40516053992837686</v>
      </c>
      <c r="AX26" s="36">
        <f t="shared" si="20"/>
        <v>0.43335365676625148</v>
      </c>
      <c r="AY26" s="36">
        <f t="shared" si="21"/>
        <v>0.51231419011573687</v>
      </c>
      <c r="BA26" s="36">
        <f t="shared" si="5"/>
        <v>0.57699999999999996</v>
      </c>
      <c r="BB26" s="36">
        <v>0.42299999999999999</v>
      </c>
      <c r="BD26" s="36">
        <f t="shared" si="6"/>
        <v>0.55778833643503956</v>
      </c>
      <c r="BE26" s="36">
        <v>0.44221166356496044</v>
      </c>
      <c r="BF26" s="36"/>
      <c r="BH26" s="36">
        <v>0.40699999999999997</v>
      </c>
      <c r="BI26" s="36">
        <v>0.41</v>
      </c>
      <c r="BJ26" s="36">
        <v>8.2999999999999963E-2</v>
      </c>
      <c r="BL26" s="41">
        <v>1278.82</v>
      </c>
      <c r="BN26" s="40">
        <v>42.169699999999999</v>
      </c>
      <c r="BQ26" s="34" t="s">
        <v>504</v>
      </c>
      <c r="BR26" s="34" t="s">
        <v>23</v>
      </c>
      <c r="BS26" s="39">
        <v>0.74264631264587777</v>
      </c>
      <c r="BU26" s="51"/>
      <c r="CA26" t="s">
        <v>511</v>
      </c>
      <c r="CB26" t="s">
        <v>510</v>
      </c>
      <c r="CC26"/>
      <c r="CD26"/>
      <c r="CE26"/>
      <c r="CI26" s="34" t="s">
        <v>509</v>
      </c>
      <c r="CL26" s="34" t="s">
        <v>508</v>
      </c>
      <c r="CR26" s="34" t="s">
        <v>136</v>
      </c>
      <c r="CS26" s="34" t="s">
        <v>410</v>
      </c>
      <c r="CT26" s="34">
        <f t="shared" si="7"/>
        <v>1</v>
      </c>
      <c r="CU26" s="34">
        <f t="shared" si="8"/>
        <v>0</v>
      </c>
      <c r="CV26" s="34">
        <f t="shared" si="9"/>
        <v>0</v>
      </c>
      <c r="CW26" s="34">
        <f t="shared" si="10"/>
        <v>0</v>
      </c>
      <c r="CX26" s="38">
        <f t="shared" si="11"/>
        <v>-0.01</v>
      </c>
      <c r="CY26" s="36">
        <f t="shared" si="13"/>
        <v>0.46639420000000004</v>
      </c>
      <c r="CZ26" s="37">
        <f t="shared" si="12"/>
        <v>7.5259112111356163E-2</v>
      </c>
      <c r="DA26" s="34" t="str">
        <f t="shared" si="14"/>
        <v/>
      </c>
    </row>
    <row r="27" spans="1:112" s="34" customFormat="1" x14ac:dyDescent="0.25">
      <c r="A27" s="34" t="s">
        <v>314</v>
      </c>
      <c r="B27" s="36" t="s">
        <v>94</v>
      </c>
      <c r="C27" s="34" t="s">
        <v>3</v>
      </c>
      <c r="D27" s="36">
        <v>0.50800000000000001</v>
      </c>
      <c r="E27" s="42">
        <f t="shared" si="0"/>
        <v>0.49199999999999999</v>
      </c>
      <c r="F27" s="36">
        <v>0.50816509143783906</v>
      </c>
      <c r="G27" s="36">
        <f t="shared" si="23"/>
        <v>-1.6509143783904889E-4</v>
      </c>
      <c r="H27" s="42">
        <f t="shared" si="24"/>
        <v>1.6509143783904889E-4</v>
      </c>
      <c r="J27" s="34" t="s">
        <v>129</v>
      </c>
      <c r="L27" s="34" t="s">
        <v>507</v>
      </c>
      <c r="O27" s="34" t="s">
        <v>506</v>
      </c>
      <c r="R27" s="34" t="s">
        <v>505</v>
      </c>
      <c r="U27" s="34" t="s">
        <v>502</v>
      </c>
      <c r="AH27" s="36">
        <v>0.54600000000000004</v>
      </c>
      <c r="AI27" s="36">
        <v>0.39892811724096167</v>
      </c>
      <c r="AJ27" s="36">
        <v>0.43091967793163011</v>
      </c>
      <c r="AK27" s="36">
        <v>0.46573242240034429</v>
      </c>
      <c r="AL27" s="36">
        <v>0.46200000000000002</v>
      </c>
      <c r="AM27" s="36">
        <v>0.547866303484281</v>
      </c>
      <c r="AN27" s="36">
        <v>0.5648470991711918</v>
      </c>
      <c r="AO27" s="36">
        <v>0.50816509143783906</v>
      </c>
      <c r="AP27" s="36">
        <f t="shared" si="3"/>
        <v>-5.6682007733352746E-2</v>
      </c>
      <c r="AQ27" s="36"/>
      <c r="AR27" s="36">
        <f t="shared" si="15"/>
        <v>0.45399999999999996</v>
      </c>
      <c r="AS27" s="36">
        <f t="shared" si="16"/>
        <v>0.60107188275903833</v>
      </c>
      <c r="AT27" s="36">
        <f t="shared" si="17"/>
        <v>0.56908032206836989</v>
      </c>
      <c r="AU27" s="36">
        <f t="shared" si="18"/>
        <v>0.53426757759965571</v>
      </c>
      <c r="AV27" s="36">
        <f t="shared" si="22"/>
        <v>0.53800000000000003</v>
      </c>
      <c r="AW27" s="36">
        <f t="shared" si="19"/>
        <v>0.452133696515719</v>
      </c>
      <c r="AX27" s="36">
        <f t="shared" si="20"/>
        <v>0.4351529008288082</v>
      </c>
      <c r="AY27" s="36">
        <f t="shared" si="21"/>
        <v>0.49183490856216094</v>
      </c>
      <c r="BA27" s="36">
        <f t="shared" si="5"/>
        <v>0.49199999999999999</v>
      </c>
      <c r="BB27" s="36">
        <v>0.50800000000000001</v>
      </c>
      <c r="BD27" s="36">
        <f t="shared" si="6"/>
        <v>0.48680178145436126</v>
      </c>
      <c r="BE27" s="36">
        <v>0.51319821854563874</v>
      </c>
      <c r="BF27" s="36"/>
      <c r="BH27" s="36">
        <v>0.60199999999999998</v>
      </c>
      <c r="BI27" s="36">
        <v>0.45300000000000001</v>
      </c>
      <c r="BJ27" s="36">
        <v>0.12</v>
      </c>
      <c r="BL27" s="41">
        <v>2027.82</v>
      </c>
      <c r="BN27" s="40">
        <v>39.377800000000001</v>
      </c>
      <c r="BQ27" s="34" t="s">
        <v>504</v>
      </c>
      <c r="BR27" s="34" t="s">
        <v>43</v>
      </c>
      <c r="BS27" s="39">
        <v>0.25735368735412228</v>
      </c>
      <c r="CA27" t="s">
        <v>503</v>
      </c>
      <c r="CB27"/>
      <c r="CC27"/>
      <c r="CD27"/>
      <c r="CE27"/>
      <c r="CK27" s="34" t="s">
        <v>502</v>
      </c>
      <c r="CR27" s="34" t="s">
        <v>3</v>
      </c>
      <c r="CS27" s="34" t="s">
        <v>120</v>
      </c>
      <c r="CT27" s="34">
        <f t="shared" si="7"/>
        <v>1</v>
      </c>
      <c r="CU27" s="34">
        <f t="shared" si="8"/>
        <v>0</v>
      </c>
      <c r="CV27" s="34">
        <f t="shared" si="9"/>
        <v>0</v>
      </c>
      <c r="CW27" s="34">
        <f t="shared" si="10"/>
        <v>0</v>
      </c>
      <c r="CX27" s="38">
        <f t="shared" si="11"/>
        <v>-0.01</v>
      </c>
      <c r="CY27" s="36">
        <f t="shared" si="13"/>
        <v>0.53139420000000004</v>
      </c>
      <c r="CZ27" s="37">
        <f t="shared" si="12"/>
        <v>0.91037826823484702</v>
      </c>
      <c r="DA27" s="34" t="str">
        <f t="shared" si="14"/>
        <v/>
      </c>
    </row>
    <row r="28" spans="1:112" s="34" customFormat="1" x14ac:dyDescent="0.25">
      <c r="A28" s="34" t="s">
        <v>296</v>
      </c>
      <c r="B28" s="36" t="s">
        <v>141</v>
      </c>
      <c r="C28" s="34" t="s">
        <v>3</v>
      </c>
      <c r="D28" s="36">
        <v>0.54299999999999993</v>
      </c>
      <c r="E28" s="42">
        <f t="shared" si="0"/>
        <v>0.45700000000000007</v>
      </c>
      <c r="F28" s="36">
        <v>0.52420132781024797</v>
      </c>
      <c r="G28" s="36">
        <f t="shared" si="23"/>
        <v>1.8798672189751953E-2</v>
      </c>
      <c r="H28" s="42">
        <f t="shared" si="24"/>
        <v>-1.8798672189751953E-2</v>
      </c>
      <c r="J28" s="34" t="s">
        <v>129</v>
      </c>
      <c r="O28" s="34" t="s">
        <v>501</v>
      </c>
      <c r="Q28" s="34" t="s">
        <v>500</v>
      </c>
      <c r="R28" s="34" t="s">
        <v>499</v>
      </c>
      <c r="S28" s="50" t="s">
        <v>497</v>
      </c>
      <c r="AD28" s="34" t="s">
        <v>498</v>
      </c>
      <c r="AH28" s="36">
        <v>0.55399999999999994</v>
      </c>
      <c r="AI28" s="36">
        <v>0.48669342597901982</v>
      </c>
      <c r="AJ28" s="36">
        <v>0.53339403004487218</v>
      </c>
      <c r="AK28" s="36">
        <v>0.58465089805211234</v>
      </c>
      <c r="AL28" s="36">
        <v>0.58099999999999996</v>
      </c>
      <c r="AM28" s="36">
        <v>0.65920769598470363</v>
      </c>
      <c r="AN28" s="36">
        <v>0.61700444282149591</v>
      </c>
      <c r="AO28" s="36">
        <v>0.52420132781024797</v>
      </c>
      <c r="AP28" s="36">
        <f t="shared" si="3"/>
        <v>-9.2803115011247939E-2</v>
      </c>
      <c r="AQ28" s="36"/>
      <c r="AR28" s="36">
        <f t="shared" si="15"/>
        <v>0.44600000000000006</v>
      </c>
      <c r="AS28" s="36">
        <f t="shared" si="16"/>
        <v>0.51330657402098012</v>
      </c>
      <c r="AT28" s="36">
        <f t="shared" si="17"/>
        <v>0.46660596995512782</v>
      </c>
      <c r="AU28" s="36">
        <f t="shared" si="18"/>
        <v>0.41534910194788766</v>
      </c>
      <c r="AV28" s="36">
        <f t="shared" si="22"/>
        <v>0.41900000000000004</v>
      </c>
      <c r="AW28" s="36">
        <f t="shared" si="19"/>
        <v>0.34079230401529637</v>
      </c>
      <c r="AX28" s="36">
        <f t="shared" si="20"/>
        <v>0.38299555717850409</v>
      </c>
      <c r="AY28" s="36">
        <f t="shared" si="21"/>
        <v>0.47579867218975203</v>
      </c>
      <c r="BA28" s="36">
        <f t="shared" si="5"/>
        <v>0.45700000000000007</v>
      </c>
      <c r="BB28" s="36">
        <v>0.54299999999999993</v>
      </c>
      <c r="BD28" s="36">
        <f t="shared" si="6"/>
        <v>0.42856502725929346</v>
      </c>
      <c r="BE28" s="36">
        <v>0.57143497274070654</v>
      </c>
      <c r="BF28" s="36"/>
      <c r="BH28" s="36">
        <v>0.64</v>
      </c>
      <c r="BI28" s="36">
        <v>0.28899999999999998</v>
      </c>
      <c r="BJ28" s="36">
        <v>0.31299999999999994</v>
      </c>
      <c r="BL28" s="41">
        <v>1999.38</v>
      </c>
      <c r="BN28" s="40">
        <v>36.456299999999999</v>
      </c>
      <c r="BQ28" s="34" t="s">
        <v>490</v>
      </c>
      <c r="BR28" s="34" t="s">
        <v>43</v>
      </c>
      <c r="BS28" s="39">
        <v>0.9782885531466663</v>
      </c>
      <c r="CA28" t="s">
        <v>497</v>
      </c>
      <c r="CB28"/>
      <c r="CC28"/>
      <c r="CD28"/>
      <c r="CE28"/>
      <c r="CI28" s="50" t="s">
        <v>497</v>
      </c>
      <c r="CR28" s="34" t="s">
        <v>3</v>
      </c>
      <c r="CS28" s="34" t="s">
        <v>120</v>
      </c>
      <c r="CT28" s="34">
        <f t="shared" si="7"/>
        <v>1</v>
      </c>
      <c r="CU28" s="34">
        <f t="shared" si="8"/>
        <v>0</v>
      </c>
      <c r="CV28" s="34">
        <f t="shared" si="9"/>
        <v>0</v>
      </c>
      <c r="CW28" s="34">
        <f t="shared" si="10"/>
        <v>0</v>
      </c>
      <c r="CX28" s="38">
        <f t="shared" si="11"/>
        <v>-0.01</v>
      </c>
      <c r="CY28" s="36">
        <f t="shared" si="13"/>
        <v>0.56639419999999996</v>
      </c>
      <c r="CZ28" s="37">
        <f t="shared" si="12"/>
        <v>0.99774741361394281</v>
      </c>
      <c r="DA28" s="34" t="str">
        <f t="shared" si="14"/>
        <v/>
      </c>
    </row>
    <row r="29" spans="1:112" s="34" customFormat="1" x14ac:dyDescent="0.25">
      <c r="A29" s="34" t="s">
        <v>278</v>
      </c>
      <c r="B29" s="36" t="s">
        <v>110</v>
      </c>
      <c r="C29" s="34" t="s">
        <v>204</v>
      </c>
      <c r="D29" s="36">
        <v>0.36399999999999999</v>
      </c>
      <c r="E29" s="52">
        <f t="shared" si="0"/>
        <v>0.63600000000000001</v>
      </c>
      <c r="F29" s="36">
        <v>0.26935077403096125</v>
      </c>
      <c r="G29" s="36">
        <f t="shared" si="23"/>
        <v>9.4649225969038742E-2</v>
      </c>
      <c r="H29" s="52">
        <f t="shared" si="24"/>
        <v>-9.4649225969038742E-2</v>
      </c>
      <c r="L29" s="34" t="s">
        <v>129</v>
      </c>
      <c r="O29" s="34" t="s">
        <v>496</v>
      </c>
      <c r="P29" s="34" t="s">
        <v>495</v>
      </c>
      <c r="Q29" s="34" t="s">
        <v>494</v>
      </c>
      <c r="R29" s="50" t="s">
        <v>493</v>
      </c>
      <c r="V29" s="51" t="s">
        <v>487</v>
      </c>
      <c r="AC29" s="34" t="s">
        <v>492</v>
      </c>
      <c r="AG29" s="34" t="s">
        <v>491</v>
      </c>
      <c r="AH29" s="36">
        <v>0.29399999999999998</v>
      </c>
      <c r="AI29" s="36">
        <v>0.29169604781572145</v>
      </c>
      <c r="AJ29" s="36">
        <v>0.34649365891826689</v>
      </c>
      <c r="AK29" s="36">
        <v>0.42587380547192039</v>
      </c>
      <c r="AL29" s="36">
        <v>0.433</v>
      </c>
      <c r="AM29" s="36">
        <v>0.4803206538824269</v>
      </c>
      <c r="AN29" s="36">
        <v>0.32489727306686589</v>
      </c>
      <c r="AO29" s="36">
        <v>0.26935077403096125</v>
      </c>
      <c r="AP29" s="36">
        <f t="shared" si="3"/>
        <v>-5.554649903590464E-2</v>
      </c>
      <c r="AQ29" s="36"/>
      <c r="AR29" s="36">
        <f t="shared" si="15"/>
        <v>0.70599999999999996</v>
      </c>
      <c r="AS29" s="36">
        <f t="shared" si="16"/>
        <v>0.70830395218427855</v>
      </c>
      <c r="AT29" s="36">
        <f t="shared" si="17"/>
        <v>0.65350634108173311</v>
      </c>
      <c r="AU29" s="36">
        <f t="shared" si="18"/>
        <v>0.57412619452807956</v>
      </c>
      <c r="AV29" s="36">
        <f t="shared" si="22"/>
        <v>0.56699999999999995</v>
      </c>
      <c r="AW29" s="36">
        <f t="shared" si="19"/>
        <v>0.51967934611757305</v>
      </c>
      <c r="AX29" s="36">
        <f t="shared" si="20"/>
        <v>0.67510272693313411</v>
      </c>
      <c r="AY29" s="36">
        <f t="shared" si="21"/>
        <v>0.7306492259690387</v>
      </c>
      <c r="AZ29" s="36"/>
      <c r="BA29" s="36">
        <f t="shared" si="5"/>
        <v>0.63600000000000001</v>
      </c>
      <c r="BB29" s="36">
        <v>0.36399999999999999</v>
      </c>
      <c r="BD29" s="36">
        <f t="shared" si="6"/>
        <v>0.60188221536963848</v>
      </c>
      <c r="BE29" s="36">
        <v>0.39811778463036152</v>
      </c>
      <c r="BF29" s="36"/>
      <c r="BH29" s="36">
        <v>0.33600000000000002</v>
      </c>
      <c r="BI29" s="36">
        <v>0.34499999999999997</v>
      </c>
      <c r="BJ29" s="36">
        <v>8.2999999999999963E-2</v>
      </c>
      <c r="BL29" s="41">
        <v>1159.3699999999999</v>
      </c>
      <c r="BN29" s="40">
        <v>43.904000000000003</v>
      </c>
      <c r="BQ29" s="34" t="s">
        <v>490</v>
      </c>
      <c r="BR29" s="34" t="s">
        <v>65</v>
      </c>
      <c r="BS29" s="39">
        <v>2.1711446853333753E-2</v>
      </c>
      <c r="BU29" s="51" t="s">
        <v>489</v>
      </c>
      <c r="BV29" s="53"/>
      <c r="CA29" t="s">
        <v>488</v>
      </c>
      <c r="CB29"/>
      <c r="CC29"/>
      <c r="CD29"/>
      <c r="CE29"/>
      <c r="CL29" s="51" t="s">
        <v>487</v>
      </c>
      <c r="CR29" s="34" t="s">
        <v>204</v>
      </c>
      <c r="CS29" s="34" t="s">
        <v>203</v>
      </c>
      <c r="CT29" s="34">
        <f t="shared" si="7"/>
        <v>1</v>
      </c>
      <c r="CU29" s="34">
        <f t="shared" si="8"/>
        <v>0</v>
      </c>
      <c r="CV29" s="34">
        <f t="shared" si="9"/>
        <v>0</v>
      </c>
      <c r="CW29" s="34">
        <f t="shared" si="10"/>
        <v>0</v>
      </c>
      <c r="CX29" s="38">
        <f t="shared" si="11"/>
        <v>-0.01</v>
      </c>
      <c r="CY29" s="36">
        <f t="shared" si="13"/>
        <v>0.40739420000000004</v>
      </c>
      <c r="CZ29" s="37">
        <f t="shared" si="12"/>
        <v>3.7192417127962507E-5</v>
      </c>
      <c r="DA29" s="34" t="str">
        <f t="shared" si="14"/>
        <v/>
      </c>
    </row>
    <row r="30" spans="1:112" s="34" customFormat="1" x14ac:dyDescent="0.25">
      <c r="A30" s="34" t="s">
        <v>273</v>
      </c>
      <c r="B30" s="36" t="s">
        <v>101</v>
      </c>
      <c r="C30" s="34" t="s">
        <v>136</v>
      </c>
      <c r="D30" s="36">
        <v>0.374</v>
      </c>
      <c r="E30" s="52">
        <f t="shared" si="0"/>
        <v>0.626</v>
      </c>
      <c r="F30" s="36">
        <v>0.36519062147824416</v>
      </c>
      <c r="G30" s="36">
        <f t="shared" si="23"/>
        <v>8.8093785217558396E-3</v>
      </c>
      <c r="H30" s="52">
        <f t="shared" si="24"/>
        <v>-8.8093785217558396E-3</v>
      </c>
      <c r="J30" s="34" t="s">
        <v>486</v>
      </c>
      <c r="L30" s="34" t="s">
        <v>129</v>
      </c>
      <c r="Q30" s="34" t="s">
        <v>485</v>
      </c>
      <c r="R30" s="34" t="s">
        <v>484</v>
      </c>
      <c r="U30" s="34" t="s">
        <v>481</v>
      </c>
      <c r="AH30" s="36">
        <v>0.46700000000000003</v>
      </c>
      <c r="AI30" s="36">
        <v>0.34698038167173556</v>
      </c>
      <c r="AJ30" s="36">
        <v>0.3722845735483668</v>
      </c>
      <c r="AK30" s="36">
        <v>0.40470581218501178</v>
      </c>
      <c r="AL30" s="36">
        <v>0.37799999999999995</v>
      </c>
      <c r="AM30" s="36">
        <v>0.50329676916621713</v>
      </c>
      <c r="AN30" s="36">
        <v>0.47220261207200848</v>
      </c>
      <c r="AO30" s="36">
        <v>0.36519062147824416</v>
      </c>
      <c r="AP30" s="36">
        <f t="shared" si="3"/>
        <v>-0.10701199059376432</v>
      </c>
      <c r="AQ30" s="36"/>
      <c r="AR30" s="36">
        <f t="shared" si="15"/>
        <v>0.53299999999999992</v>
      </c>
      <c r="AS30" s="36">
        <f t="shared" si="16"/>
        <v>0.65301961832826438</v>
      </c>
      <c r="AT30" s="36">
        <f t="shared" si="17"/>
        <v>0.62771542645163314</v>
      </c>
      <c r="AU30" s="36">
        <f t="shared" si="18"/>
        <v>0.59529418781498822</v>
      </c>
      <c r="AV30" s="36">
        <f t="shared" si="22"/>
        <v>0.62200000000000011</v>
      </c>
      <c r="AW30" s="36">
        <f t="shared" si="19"/>
        <v>0.49670323083378287</v>
      </c>
      <c r="AX30" s="36">
        <f t="shared" si="20"/>
        <v>0.52779738792799158</v>
      </c>
      <c r="AY30" s="36">
        <f t="shared" si="21"/>
        <v>0.6348093785217559</v>
      </c>
      <c r="BA30" s="36">
        <f t="shared" si="5"/>
        <v>0.626</v>
      </c>
      <c r="BB30" s="36">
        <v>0.374</v>
      </c>
      <c r="BD30" s="36">
        <f t="shared" si="6"/>
        <v>0.6118244670690276</v>
      </c>
      <c r="BE30" s="36">
        <v>0.38817553293097246</v>
      </c>
      <c r="BF30" s="36"/>
      <c r="BH30" s="36">
        <v>0.44600000000000001</v>
      </c>
      <c r="BI30" s="36">
        <v>0.48799999999999999</v>
      </c>
      <c r="BJ30" s="36">
        <v>9.8999999999999977E-2</v>
      </c>
      <c r="BL30" s="41">
        <v>1543.65</v>
      </c>
      <c r="BN30" s="40">
        <v>37.261000000000003</v>
      </c>
      <c r="BQ30" s="34" t="s">
        <v>483</v>
      </c>
      <c r="BR30" s="34" t="s">
        <v>36</v>
      </c>
      <c r="BS30" s="39">
        <v>1</v>
      </c>
      <c r="CA30" t="s">
        <v>482</v>
      </c>
      <c r="CB30"/>
      <c r="CC30"/>
      <c r="CD30"/>
      <c r="CE30"/>
      <c r="CK30" s="34" t="s">
        <v>481</v>
      </c>
      <c r="CR30" s="34" t="s">
        <v>136</v>
      </c>
      <c r="CS30" s="34" t="s">
        <v>155</v>
      </c>
      <c r="CT30" s="34">
        <f t="shared" si="7"/>
        <v>0</v>
      </c>
      <c r="CU30" s="34">
        <f t="shared" si="8"/>
        <v>0</v>
      </c>
      <c r="CV30" s="34">
        <f t="shared" si="9"/>
        <v>0</v>
      </c>
      <c r="CW30" s="34">
        <f t="shared" si="10"/>
        <v>0</v>
      </c>
      <c r="CX30" s="38">
        <f t="shared" si="11"/>
        <v>0</v>
      </c>
      <c r="CY30" s="36">
        <f t="shared" si="13"/>
        <v>0.40739420000000004</v>
      </c>
      <c r="CZ30" s="37">
        <f t="shared" si="12"/>
        <v>3.7192417127962507E-5</v>
      </c>
      <c r="DA30" s="34" t="str">
        <f t="shared" si="14"/>
        <v/>
      </c>
    </row>
    <row r="31" spans="1:112" s="34" customFormat="1" x14ac:dyDescent="0.25">
      <c r="A31" s="34" t="s">
        <v>259</v>
      </c>
      <c r="B31" s="36" t="s">
        <v>94</v>
      </c>
      <c r="C31" s="34" t="s">
        <v>136</v>
      </c>
      <c r="D31" s="36">
        <v>0.38500000000000001</v>
      </c>
      <c r="E31" s="52">
        <f t="shared" si="0"/>
        <v>0.61499999999999999</v>
      </c>
      <c r="F31" s="36">
        <v>0.37997024785053329</v>
      </c>
      <c r="G31" s="36">
        <f t="shared" si="23"/>
        <v>5.0297521494667152E-3</v>
      </c>
      <c r="H31" s="52">
        <f t="shared" si="24"/>
        <v>-5.0297521494667152E-3</v>
      </c>
      <c r="J31" s="34" t="s">
        <v>480</v>
      </c>
      <c r="L31" s="34" t="s">
        <v>129</v>
      </c>
      <c r="Q31" s="34" t="s">
        <v>479</v>
      </c>
      <c r="R31" s="34" t="s">
        <v>478</v>
      </c>
      <c r="AG31" s="34" t="s">
        <v>477</v>
      </c>
      <c r="AH31" s="36">
        <v>0.55000000000000004</v>
      </c>
      <c r="AI31" s="36">
        <v>0.43670532575483784</v>
      </c>
      <c r="AJ31" s="36">
        <v>0.42056974400625696</v>
      </c>
      <c r="AK31" s="36">
        <v>0.42684494025647335</v>
      </c>
      <c r="AL31" s="36">
        <v>0.42399999999999999</v>
      </c>
      <c r="AM31" s="36">
        <v>0.52283233735483148</v>
      </c>
      <c r="AN31" s="36">
        <v>0.49963172109010556</v>
      </c>
      <c r="AO31" s="36">
        <v>0.37997024785053329</v>
      </c>
      <c r="AP31" s="36">
        <f t="shared" si="3"/>
        <v>-0.11966147323957227</v>
      </c>
      <c r="AQ31" s="36"/>
      <c r="AR31" s="36">
        <f t="shared" si="15"/>
        <v>0.44999999999999996</v>
      </c>
      <c r="AS31" s="36">
        <f t="shared" si="16"/>
        <v>0.56329467424516211</v>
      </c>
      <c r="AT31" s="36">
        <f t="shared" si="17"/>
        <v>0.57943025599374298</v>
      </c>
      <c r="AU31" s="36">
        <f t="shared" si="18"/>
        <v>0.57315505974352665</v>
      </c>
      <c r="AV31" s="36">
        <f t="shared" si="22"/>
        <v>0.57600000000000007</v>
      </c>
      <c r="AW31" s="36">
        <f t="shared" si="19"/>
        <v>0.47716766264516852</v>
      </c>
      <c r="AX31" s="36">
        <f t="shared" si="20"/>
        <v>0.50036827890989444</v>
      </c>
      <c r="AY31" s="36">
        <f t="shared" si="21"/>
        <v>0.62002975214946665</v>
      </c>
      <c r="BA31" s="36">
        <f t="shared" si="5"/>
        <v>0.61499999999999999</v>
      </c>
      <c r="BB31" s="36">
        <v>0.38500000000000001</v>
      </c>
      <c r="BD31" s="36">
        <f t="shared" si="6"/>
        <v>0.58009980946298834</v>
      </c>
      <c r="BE31" s="36">
        <v>0.41990019053701161</v>
      </c>
      <c r="BF31" s="36"/>
      <c r="BH31" s="36">
        <v>0.53400000000000003</v>
      </c>
      <c r="BI31" s="36">
        <v>0.41</v>
      </c>
      <c r="BJ31" s="36">
        <v>0.247</v>
      </c>
      <c r="BL31" s="41">
        <v>1610.04</v>
      </c>
      <c r="BN31" s="40">
        <v>40.371499999999997</v>
      </c>
      <c r="BQ31" s="34" t="s">
        <v>468</v>
      </c>
      <c r="BR31" s="34" t="s">
        <v>25</v>
      </c>
      <c r="BS31" s="39">
        <v>0.37617278617710581</v>
      </c>
      <c r="CA31"/>
      <c r="CB31"/>
      <c r="CC31"/>
      <c r="CD31"/>
      <c r="CE31"/>
      <c r="CR31" s="34" t="s">
        <v>136</v>
      </c>
      <c r="CS31" s="34" t="s">
        <v>155</v>
      </c>
      <c r="CT31" s="34">
        <f t="shared" si="7"/>
        <v>0</v>
      </c>
      <c r="CU31" s="34">
        <f t="shared" si="8"/>
        <v>0</v>
      </c>
      <c r="CV31" s="34">
        <f t="shared" si="9"/>
        <v>0</v>
      </c>
      <c r="CW31" s="34">
        <f t="shared" si="10"/>
        <v>0</v>
      </c>
      <c r="CX31" s="38">
        <f t="shared" si="11"/>
        <v>0</v>
      </c>
      <c r="CY31" s="36">
        <f t="shared" si="13"/>
        <v>0.41839420000000005</v>
      </c>
      <c r="CZ31" s="37">
        <f t="shared" si="12"/>
        <v>2.404182136883648E-4</v>
      </c>
      <c r="DA31" s="34" t="str">
        <f t="shared" si="14"/>
        <v/>
      </c>
    </row>
    <row r="32" spans="1:112" s="34" customFormat="1" x14ac:dyDescent="0.25">
      <c r="A32" s="34" t="s">
        <v>250</v>
      </c>
      <c r="B32" s="36" t="s">
        <v>141</v>
      </c>
      <c r="C32" s="34" t="s">
        <v>3</v>
      </c>
      <c r="D32" s="36">
        <v>0.65900000000000003</v>
      </c>
      <c r="E32" s="42">
        <f t="shared" si="0"/>
        <v>0.34099999999999997</v>
      </c>
      <c r="F32" s="36">
        <v>0.66233160319589435</v>
      </c>
      <c r="G32" s="36">
        <f t="shared" si="23"/>
        <v>-3.3316031958943171E-3</v>
      </c>
      <c r="H32" s="42">
        <f t="shared" si="24"/>
        <v>3.3316031958943171E-3</v>
      </c>
      <c r="J32" s="34" t="s">
        <v>129</v>
      </c>
      <c r="L32" s="34" t="s">
        <v>476</v>
      </c>
      <c r="O32" s="50" t="s">
        <v>475</v>
      </c>
      <c r="R32" s="34" t="s">
        <v>474</v>
      </c>
      <c r="S32" s="34" t="s">
        <v>472</v>
      </c>
      <c r="AH32" s="36">
        <v>0.72299999999999998</v>
      </c>
      <c r="AI32" s="36">
        <v>0.65997955082325566</v>
      </c>
      <c r="AJ32" s="36">
        <v>0.69321310572687223</v>
      </c>
      <c r="AK32" s="36">
        <v>0.67628781962036066</v>
      </c>
      <c r="AL32" s="36">
        <v>0.67700000000000005</v>
      </c>
      <c r="AM32" s="36">
        <v>0.74800587071661029</v>
      </c>
      <c r="AN32" s="36">
        <v>0.74668536460989288</v>
      </c>
      <c r="AO32" s="36">
        <v>0.66233160319589435</v>
      </c>
      <c r="AP32" s="36">
        <f t="shared" si="3"/>
        <v>-8.4353761413998529E-2</v>
      </c>
      <c r="AQ32" s="36"/>
      <c r="AR32" s="36">
        <f t="shared" si="15"/>
        <v>0.27700000000000002</v>
      </c>
      <c r="AS32" s="36">
        <f t="shared" si="16"/>
        <v>0.34002044917674434</v>
      </c>
      <c r="AT32" s="36">
        <f t="shared" si="17"/>
        <v>0.30678689427312777</v>
      </c>
      <c r="AU32" s="36">
        <f t="shared" si="18"/>
        <v>0.32371218037963934</v>
      </c>
      <c r="AV32" s="36">
        <f t="shared" si="22"/>
        <v>0.32299999999999995</v>
      </c>
      <c r="AW32" s="36">
        <f t="shared" si="19"/>
        <v>0.25199412928338971</v>
      </c>
      <c r="AX32" s="36">
        <f t="shared" si="20"/>
        <v>0.25331463539010712</v>
      </c>
      <c r="AY32" s="36">
        <f t="shared" si="21"/>
        <v>0.33766839680410565</v>
      </c>
      <c r="BA32" s="36">
        <f t="shared" si="5"/>
        <v>0.34099999999999997</v>
      </c>
      <c r="BB32" s="36">
        <v>0.65900000000000003</v>
      </c>
      <c r="BD32" s="36">
        <f t="shared" si="6"/>
        <v>0.29979971753323487</v>
      </c>
      <c r="BE32" s="36">
        <v>0.70020028246676513</v>
      </c>
      <c r="BF32" s="36"/>
      <c r="BH32" s="36">
        <v>0.56200000000000006</v>
      </c>
      <c r="BI32" s="36">
        <v>0.29899999999999999</v>
      </c>
      <c r="BJ32" s="36">
        <v>0.61199999999999999</v>
      </c>
      <c r="BL32" s="41">
        <v>1285.48</v>
      </c>
      <c r="BN32" s="40">
        <v>34.567599999999999</v>
      </c>
      <c r="BQ32" s="34" t="s">
        <v>468</v>
      </c>
      <c r="BR32" s="34" t="s">
        <v>34</v>
      </c>
      <c r="BS32" s="39">
        <v>0.33907559395248382</v>
      </c>
      <c r="CA32" t="s">
        <v>473</v>
      </c>
      <c r="CB32"/>
      <c r="CC32"/>
      <c r="CD32"/>
      <c r="CE32"/>
      <c r="CI32" s="34" t="s">
        <v>472</v>
      </c>
      <c r="CR32" s="34" t="s">
        <v>3</v>
      </c>
      <c r="CS32" s="34" t="s">
        <v>131</v>
      </c>
      <c r="CT32" s="34">
        <f t="shared" si="7"/>
        <v>0</v>
      </c>
      <c r="CU32" s="34">
        <f t="shared" si="8"/>
        <v>0</v>
      </c>
      <c r="CV32" s="34">
        <f t="shared" si="9"/>
        <v>0</v>
      </c>
      <c r="CW32" s="34">
        <f t="shared" si="10"/>
        <v>0</v>
      </c>
      <c r="CX32" s="38">
        <f t="shared" si="11"/>
        <v>0</v>
      </c>
      <c r="CY32" s="36">
        <f t="shared" si="13"/>
        <v>0.69239420000000007</v>
      </c>
      <c r="CZ32" s="37">
        <f t="shared" si="12"/>
        <v>0.99999999999999989</v>
      </c>
      <c r="DA32" s="34" t="str">
        <f t="shared" si="14"/>
        <v/>
      </c>
    </row>
    <row r="33" spans="1:105" s="34" customFormat="1" x14ac:dyDescent="0.25">
      <c r="A33" s="34" t="s">
        <v>227</v>
      </c>
      <c r="B33" s="36" t="s">
        <v>94</v>
      </c>
      <c r="C33" s="34" t="s">
        <v>136</v>
      </c>
      <c r="D33" s="36">
        <v>0.46500000000000002</v>
      </c>
      <c r="E33" s="52">
        <f t="shared" si="0"/>
        <v>0.53499999999999992</v>
      </c>
      <c r="F33" s="36">
        <v>0.46831071255453222</v>
      </c>
      <c r="G33" s="36">
        <f t="shared" si="23"/>
        <v>-3.3107125545321914E-3</v>
      </c>
      <c r="H33" s="52">
        <f t="shared" si="24"/>
        <v>3.3107125545321914E-3</v>
      </c>
      <c r="J33" s="34" t="s">
        <v>471</v>
      </c>
      <c r="L33" s="34" t="s">
        <v>129</v>
      </c>
      <c r="Q33" s="34" t="s">
        <v>470</v>
      </c>
      <c r="R33" s="34" t="s">
        <v>469</v>
      </c>
      <c r="AH33" s="36">
        <v>0.46500000000000002</v>
      </c>
      <c r="AI33" s="36">
        <v>0.34652979829350422</v>
      </c>
      <c r="AJ33" s="36">
        <v>0.39259662144868185</v>
      </c>
      <c r="AK33" s="36">
        <v>0.42896626215134381</v>
      </c>
      <c r="AL33" s="36">
        <v>0.43799999999999994</v>
      </c>
      <c r="AM33" s="36">
        <v>0.55778909176029967</v>
      </c>
      <c r="AN33" s="36">
        <v>0.5076770529731679</v>
      </c>
      <c r="AO33" s="36">
        <v>0.46831071255453222</v>
      </c>
      <c r="AP33" s="36">
        <f t="shared" si="3"/>
        <v>-3.9366340418635681E-2</v>
      </c>
      <c r="AQ33" s="36"/>
      <c r="AR33" s="36">
        <f t="shared" si="15"/>
        <v>0.53499999999999992</v>
      </c>
      <c r="AS33" s="36">
        <f t="shared" si="16"/>
        <v>0.65347020170649572</v>
      </c>
      <c r="AT33" s="36">
        <f t="shared" si="17"/>
        <v>0.60740337855131821</v>
      </c>
      <c r="AU33" s="36">
        <f t="shared" si="18"/>
        <v>0.57103373784865619</v>
      </c>
      <c r="AV33" s="36">
        <f t="shared" si="22"/>
        <v>0.56200000000000006</v>
      </c>
      <c r="AW33" s="36">
        <f t="shared" si="19"/>
        <v>0.44221090823970033</v>
      </c>
      <c r="AX33" s="36">
        <f t="shared" si="20"/>
        <v>0.4923229470268321</v>
      </c>
      <c r="AY33" s="36">
        <f t="shared" si="21"/>
        <v>0.53168928744546773</v>
      </c>
      <c r="BA33" s="36">
        <f t="shared" si="5"/>
        <v>0.53499999999999992</v>
      </c>
      <c r="BB33" s="36">
        <v>0.46500000000000002</v>
      </c>
      <c r="BD33" s="36">
        <f t="shared" si="6"/>
        <v>0.52543080706762568</v>
      </c>
      <c r="BE33" s="36">
        <v>0.47456919293237426</v>
      </c>
      <c r="BF33" s="36"/>
      <c r="BH33" s="36">
        <v>0.61099999999999999</v>
      </c>
      <c r="BI33" s="36">
        <v>0.32700000000000001</v>
      </c>
      <c r="BJ33" s="36">
        <v>0.374</v>
      </c>
      <c r="BL33" s="41">
        <v>1614.46</v>
      </c>
      <c r="BN33" s="40">
        <v>41.609900000000003</v>
      </c>
      <c r="BQ33" s="34" t="s">
        <v>468</v>
      </c>
      <c r="BR33" s="34" t="s">
        <v>37</v>
      </c>
      <c r="BS33" s="39">
        <v>0.28475161987041037</v>
      </c>
      <c r="CA33"/>
      <c r="CB33"/>
      <c r="CC33"/>
      <c r="CD33"/>
      <c r="CE33"/>
      <c r="CR33" s="34" t="s">
        <v>136</v>
      </c>
      <c r="CS33" s="34" t="s">
        <v>197</v>
      </c>
      <c r="CT33" s="34">
        <f t="shared" si="7"/>
        <v>0</v>
      </c>
      <c r="CU33" s="34">
        <f t="shared" si="8"/>
        <v>1</v>
      </c>
      <c r="CV33" s="34">
        <f t="shared" si="9"/>
        <v>0</v>
      </c>
      <c r="CW33" s="34">
        <f t="shared" si="10"/>
        <v>0</v>
      </c>
      <c r="CX33" s="38">
        <f t="shared" si="11"/>
        <v>8.9999999999999993E-3</v>
      </c>
      <c r="CY33" s="36">
        <f t="shared" si="13"/>
        <v>0.48939420000000006</v>
      </c>
      <c r="CZ33" s="37">
        <f t="shared" si="12"/>
        <v>0.32501120851608478</v>
      </c>
      <c r="DA33" s="34" t="str">
        <f t="shared" si="14"/>
        <v/>
      </c>
    </row>
    <row r="34" spans="1:105" s="34" customFormat="1" x14ac:dyDescent="0.25">
      <c r="A34" s="34" t="s">
        <v>467</v>
      </c>
      <c r="B34" s="36" t="s">
        <v>223</v>
      </c>
      <c r="C34" s="34" t="s">
        <v>466</v>
      </c>
      <c r="D34" s="36">
        <v>0.496</v>
      </c>
      <c r="E34" s="42">
        <f t="shared" si="0"/>
        <v>0.504</v>
      </c>
      <c r="F34" s="36">
        <v>0.47930536364778292</v>
      </c>
      <c r="G34" s="36">
        <f t="shared" si="23"/>
        <v>1.6694636352217074E-2</v>
      </c>
      <c r="H34" s="42">
        <f t="shared" si="24"/>
        <v>-1.6694636352217074E-2</v>
      </c>
      <c r="L34" s="34" t="s">
        <v>129</v>
      </c>
      <c r="M34" s="34" t="s">
        <v>465</v>
      </c>
      <c r="O34" s="34" t="s">
        <v>464</v>
      </c>
      <c r="Q34" s="34" t="s">
        <v>463</v>
      </c>
      <c r="R34" s="34" t="s">
        <v>462</v>
      </c>
      <c r="S34" s="50" t="s">
        <v>458</v>
      </c>
      <c r="U34" s="34" t="s">
        <v>457</v>
      </c>
      <c r="AH34" s="36">
        <v>0.439</v>
      </c>
      <c r="AI34" s="36">
        <v>0.32399725745629071</v>
      </c>
      <c r="AJ34" s="36">
        <v>0.34532470580346664</v>
      </c>
      <c r="AK34" s="36">
        <v>0.39196360879454134</v>
      </c>
      <c r="AL34" s="36">
        <v>0.47</v>
      </c>
      <c r="AM34" s="36">
        <v>0.55770219198790627</v>
      </c>
      <c r="AN34" s="36">
        <v>0.53215112774799356</v>
      </c>
      <c r="AO34" s="36">
        <v>0.47930536364778292</v>
      </c>
      <c r="AP34" s="36">
        <f t="shared" si="3"/>
        <v>-5.2845764100210635E-2</v>
      </c>
      <c r="AQ34" s="36"/>
      <c r="AR34" s="36">
        <f t="shared" si="15"/>
        <v>0.56099999999999994</v>
      </c>
      <c r="AS34" s="36">
        <f t="shared" si="16"/>
        <v>0.67600274254370929</v>
      </c>
      <c r="AT34" s="36">
        <f t="shared" si="17"/>
        <v>0.65467529419653336</v>
      </c>
      <c r="AU34" s="36">
        <f t="shared" si="18"/>
        <v>0.60803639120545871</v>
      </c>
      <c r="AV34" s="36">
        <f t="shared" si="22"/>
        <v>0.53</v>
      </c>
      <c r="AW34" s="36">
        <f t="shared" si="19"/>
        <v>0.44229780801209373</v>
      </c>
      <c r="AX34" s="36">
        <f t="shared" si="20"/>
        <v>0.46784887225200644</v>
      </c>
      <c r="AY34" s="36">
        <f t="shared" si="21"/>
        <v>0.52069463635221713</v>
      </c>
      <c r="BA34" s="36">
        <f t="shared" si="5"/>
        <v>0.504</v>
      </c>
      <c r="BB34" s="36">
        <v>0.496</v>
      </c>
      <c r="BD34" s="36">
        <f t="shared" si="6"/>
        <v>0.53281905197349555</v>
      </c>
      <c r="BE34" s="36">
        <v>0.46718094802650445</v>
      </c>
      <c r="BF34" s="36"/>
      <c r="BH34" s="36">
        <v>0.436</v>
      </c>
      <c r="BI34" s="36">
        <v>0.32600000000000001</v>
      </c>
      <c r="BJ34" s="36">
        <v>0.15600000000000003</v>
      </c>
      <c r="BL34" s="41">
        <v>1321.91</v>
      </c>
      <c r="BN34" s="40">
        <v>40.1586</v>
      </c>
      <c r="BQ34" s="34" t="s">
        <v>451</v>
      </c>
      <c r="BR34" s="34" t="s">
        <v>32</v>
      </c>
      <c r="BS34" s="39">
        <v>0.90506680484103774</v>
      </c>
      <c r="BU34" s="51" t="s">
        <v>461</v>
      </c>
      <c r="CA34" t="s">
        <v>460</v>
      </c>
      <c r="CB34" t="s">
        <v>458</v>
      </c>
      <c r="CC34" t="s">
        <v>459</v>
      </c>
      <c r="CD34"/>
      <c r="CE34"/>
      <c r="CI34" s="50" t="s">
        <v>458</v>
      </c>
      <c r="CK34" s="34" t="s">
        <v>457</v>
      </c>
      <c r="CR34" s="34" t="s">
        <v>456</v>
      </c>
      <c r="CS34" s="34" t="s">
        <v>456</v>
      </c>
      <c r="CT34" s="34">
        <f t="shared" si="7"/>
        <v>0</v>
      </c>
      <c r="CU34" s="34">
        <f t="shared" si="8"/>
        <v>0</v>
      </c>
      <c r="CV34" s="34">
        <f t="shared" si="9"/>
        <v>0</v>
      </c>
      <c r="CW34" s="34">
        <f t="shared" si="10"/>
        <v>0</v>
      </c>
      <c r="CX34" s="38">
        <f t="shared" si="11"/>
        <v>0</v>
      </c>
      <c r="CY34" s="36">
        <f t="shared" si="13"/>
        <v>0.52939420000000004</v>
      </c>
      <c r="CZ34" s="37">
        <f t="shared" si="12"/>
        <v>0.89571824711607051</v>
      </c>
      <c r="DA34" s="34" t="str">
        <f t="shared" si="14"/>
        <v>ALP GAIN</v>
      </c>
    </row>
    <row r="35" spans="1:105" s="34" customFormat="1" x14ac:dyDescent="0.25">
      <c r="A35" s="34" t="s">
        <v>208</v>
      </c>
      <c r="B35" s="36" t="s">
        <v>98</v>
      </c>
      <c r="C35" s="34" t="s">
        <v>3</v>
      </c>
      <c r="D35" s="36">
        <v>0.54</v>
      </c>
      <c r="E35" s="42">
        <f t="shared" ref="E35:E66" si="25">1-D35</f>
        <v>0.45999999999999996</v>
      </c>
      <c r="F35" s="36">
        <v>0.52140434758436649</v>
      </c>
      <c r="G35" s="36">
        <f t="shared" si="23"/>
        <v>1.8595652415633546E-2</v>
      </c>
      <c r="H35" s="42">
        <f t="shared" si="24"/>
        <v>-1.8595652415633546E-2</v>
      </c>
      <c r="J35" s="34" t="s">
        <v>129</v>
      </c>
      <c r="O35" s="34" t="s">
        <v>455</v>
      </c>
      <c r="Q35" s="34" t="s">
        <v>454</v>
      </c>
      <c r="R35" s="34" t="s">
        <v>453</v>
      </c>
      <c r="S35" s="51" t="s">
        <v>448</v>
      </c>
      <c r="V35" s="34" t="s">
        <v>447</v>
      </c>
      <c r="W35" s="50" t="s">
        <v>446</v>
      </c>
      <c r="AD35" s="34" t="s">
        <v>452</v>
      </c>
      <c r="AH35" s="36">
        <v>0.52600000000000002</v>
      </c>
      <c r="AI35" s="36">
        <v>0.4923497789229252</v>
      </c>
      <c r="AJ35" s="36">
        <v>0.46477977420893624</v>
      </c>
      <c r="AK35" s="36">
        <v>0.50025819777949909</v>
      </c>
      <c r="AL35" s="36">
        <v>0.49700000000000005</v>
      </c>
      <c r="AM35" s="36">
        <v>0.58096273825196043</v>
      </c>
      <c r="AN35" s="36">
        <v>0.58328042938766089</v>
      </c>
      <c r="AO35" s="36">
        <v>0.52140434758436649</v>
      </c>
      <c r="AP35" s="36">
        <f t="shared" ref="AP35:AP66" si="26">AO35-AN35</f>
        <v>-6.1876081803294403E-2</v>
      </c>
      <c r="AQ35" s="36"/>
      <c r="AR35" s="36">
        <f t="shared" si="15"/>
        <v>0.47399999999999998</v>
      </c>
      <c r="AS35" s="36">
        <f t="shared" si="16"/>
        <v>0.5076502210770748</v>
      </c>
      <c r="AT35" s="36">
        <f t="shared" si="17"/>
        <v>0.53522022579106376</v>
      </c>
      <c r="AU35" s="36">
        <f t="shared" si="18"/>
        <v>0.49974180222050091</v>
      </c>
      <c r="AV35" s="36">
        <f t="shared" si="22"/>
        <v>0.50299999999999989</v>
      </c>
      <c r="AW35" s="36">
        <f t="shared" si="19"/>
        <v>0.41903726174803957</v>
      </c>
      <c r="AX35" s="36">
        <f t="shared" si="20"/>
        <v>0.41671957061233911</v>
      </c>
      <c r="AY35" s="36">
        <f t="shared" si="21"/>
        <v>0.47859565241563351</v>
      </c>
      <c r="BA35" s="36">
        <f t="shared" ref="BA35:BA66" si="27">1-BB35</f>
        <v>0.45999999999999996</v>
      </c>
      <c r="BB35" s="36">
        <v>0.54</v>
      </c>
      <c r="BD35" s="36">
        <f t="shared" ref="BD35:BD66" si="28">1-BE35</f>
        <v>0.47243003432649855</v>
      </c>
      <c r="BE35" s="36">
        <v>0.52756996567350145</v>
      </c>
      <c r="BF35" s="36"/>
      <c r="BH35" s="36">
        <v>0.47299999999999998</v>
      </c>
      <c r="BI35" s="36">
        <v>0.316</v>
      </c>
      <c r="BJ35" s="36">
        <v>0.125</v>
      </c>
      <c r="BL35" s="41">
        <v>1449.53</v>
      </c>
      <c r="BN35" s="40">
        <v>39.0473</v>
      </c>
      <c r="BQ35" s="34" t="s">
        <v>451</v>
      </c>
      <c r="BR35" s="34" t="s">
        <v>48</v>
      </c>
      <c r="BS35" s="39">
        <v>9.4933195158962216E-2</v>
      </c>
      <c r="CA35" t="s">
        <v>446</v>
      </c>
      <c r="CB35" t="s">
        <v>450</v>
      </c>
      <c r="CC35" t="s">
        <v>449</v>
      </c>
      <c r="CD35"/>
      <c r="CE35"/>
      <c r="CI35" s="51" t="s">
        <v>448</v>
      </c>
      <c r="CL35" s="34" t="s">
        <v>447</v>
      </c>
      <c r="CM35" s="50" t="s">
        <v>446</v>
      </c>
      <c r="CR35" s="34" t="s">
        <v>3</v>
      </c>
      <c r="CS35" s="34" t="s">
        <v>120</v>
      </c>
      <c r="CT35" s="34">
        <f t="shared" ref="CT35:CT66" si="29">IF(CS35="ALPVAC",1,IF(CS35="LIBVAC",1,IF(CS35="NATVAC",1,0)))</f>
        <v>1</v>
      </c>
      <c r="CU35" s="34">
        <f t="shared" ref="CU35:CU66" si="30">IF(CS35="ALPSOPWIN",1,IF(CS35="LIBSOPWIN",1,IF(CS35="NATSOPWIN",1,0)))</f>
        <v>0</v>
      </c>
      <c r="CV35" s="34">
        <f t="shared" ref="CV35:CV66" si="31">IF(CS35="ALPSOPVAC",1,IF(CS35="LIBSOPVAC",1,IF(CS35="NATSOPVAC",1,0)))</f>
        <v>0</v>
      </c>
      <c r="CW35" s="34">
        <f t="shared" ref="CW35:CW66" si="32">IF(CV35=1,IF(B35="Eastern Victoria",1,IF(B35="Western Victoria",1,IF(B35="Northern Victoria",1,0))),0)</f>
        <v>0</v>
      </c>
      <c r="CX35" s="38">
        <f t="shared" ref="CX35:CX66" si="33">(-0.01*CT35)+(0.009*CU35)+(0.005*CV35)+(0.008*CW35)</f>
        <v>-0.01</v>
      </c>
      <c r="CY35" s="36">
        <f t="shared" si="13"/>
        <v>0.56339420000000007</v>
      </c>
      <c r="CZ35" s="37">
        <f t="shared" ref="CZ35:CZ66" si="34">(1-(NORMDIST(0.5,CY35,DE$2,1)))</f>
        <v>0.99665700925802392</v>
      </c>
      <c r="DA35" s="34" t="str">
        <f t="shared" si="14"/>
        <v/>
      </c>
    </row>
    <row r="36" spans="1:105" s="34" customFormat="1" x14ac:dyDescent="0.25">
      <c r="A36" s="34" t="s">
        <v>192</v>
      </c>
      <c r="B36" s="36" t="s">
        <v>101</v>
      </c>
      <c r="C36" s="34" t="s">
        <v>136</v>
      </c>
      <c r="D36" s="36">
        <v>0.41200000000000003</v>
      </c>
      <c r="E36" s="52">
        <f t="shared" si="25"/>
        <v>0.58799999999999997</v>
      </c>
      <c r="F36" s="36">
        <v>0.43245411953511248</v>
      </c>
      <c r="G36" s="36">
        <f t="shared" si="23"/>
        <v>-2.0454119535112447E-2</v>
      </c>
      <c r="H36" s="52">
        <f t="shared" si="24"/>
        <v>2.0454119535112447E-2</v>
      </c>
      <c r="J36" s="34" t="s">
        <v>445</v>
      </c>
      <c r="L36" s="34" t="s">
        <v>129</v>
      </c>
      <c r="Q36" s="34" t="s">
        <v>444</v>
      </c>
      <c r="R36" s="34" t="s">
        <v>443</v>
      </c>
      <c r="V36" s="34" t="s">
        <v>440</v>
      </c>
      <c r="AG36" s="34" t="s">
        <v>442</v>
      </c>
      <c r="AH36" s="36">
        <v>0.46600000000000003</v>
      </c>
      <c r="AI36" s="36">
        <v>0.35474234503360719</v>
      </c>
      <c r="AJ36" s="36">
        <v>0.38754686226568869</v>
      </c>
      <c r="AK36" s="36">
        <v>0.43446954479433852</v>
      </c>
      <c r="AL36" s="36">
        <v>0.433</v>
      </c>
      <c r="AM36" s="36">
        <v>0.51582429466586088</v>
      </c>
      <c r="AN36" s="36">
        <v>0.50714654727053554</v>
      </c>
      <c r="AO36" s="36">
        <v>0.43245411953511248</v>
      </c>
      <c r="AP36" s="36">
        <f t="shared" si="26"/>
        <v>-7.4692427735423061E-2</v>
      </c>
      <c r="AQ36" s="36"/>
      <c r="AR36" s="36">
        <f t="shared" si="15"/>
        <v>0.53400000000000003</v>
      </c>
      <c r="AS36" s="36">
        <f t="shared" si="16"/>
        <v>0.64525765496639287</v>
      </c>
      <c r="AT36" s="36">
        <f t="shared" si="17"/>
        <v>0.61245313773431131</v>
      </c>
      <c r="AU36" s="36">
        <f t="shared" si="18"/>
        <v>0.56553045520566148</v>
      </c>
      <c r="AV36" s="36">
        <f t="shared" si="22"/>
        <v>0.56699999999999995</v>
      </c>
      <c r="AW36" s="36">
        <f t="shared" si="19"/>
        <v>0.48417570533413912</v>
      </c>
      <c r="AX36" s="36">
        <f t="shared" si="20"/>
        <v>0.49285345272946446</v>
      </c>
      <c r="AY36" s="36">
        <f t="shared" si="21"/>
        <v>0.56754588046488752</v>
      </c>
      <c r="BA36" s="36">
        <f t="shared" si="27"/>
        <v>0.58799999999999997</v>
      </c>
      <c r="BB36" s="36">
        <v>0.41200000000000003</v>
      </c>
      <c r="BD36" s="36">
        <f t="shared" si="28"/>
        <v>0.60051996806611951</v>
      </c>
      <c r="BE36" s="36">
        <v>0.39948003193388043</v>
      </c>
      <c r="BF36" s="36"/>
      <c r="BH36" s="36">
        <v>0.46899999999999997</v>
      </c>
      <c r="BI36" s="36">
        <v>0.49</v>
      </c>
      <c r="BJ36" s="36">
        <v>0.11399999999999999</v>
      </c>
      <c r="BL36" s="41">
        <v>1681.29</v>
      </c>
      <c r="BN36" s="40">
        <v>37.726500000000001</v>
      </c>
      <c r="BQ36" s="34" t="s">
        <v>431</v>
      </c>
      <c r="BR36" s="34" t="s">
        <v>76</v>
      </c>
      <c r="BS36" s="39">
        <v>0.59045303013222106</v>
      </c>
      <c r="CA36" t="s">
        <v>441</v>
      </c>
      <c r="CB36"/>
      <c r="CC36"/>
      <c r="CD36"/>
      <c r="CE36"/>
      <c r="CL36" s="34" t="s">
        <v>440</v>
      </c>
      <c r="CR36" s="34" t="s">
        <v>136</v>
      </c>
      <c r="CS36" s="34" t="s">
        <v>197</v>
      </c>
      <c r="CT36" s="34">
        <f t="shared" si="29"/>
        <v>0</v>
      </c>
      <c r="CU36" s="34">
        <f t="shared" si="30"/>
        <v>1</v>
      </c>
      <c r="CV36" s="34">
        <f t="shared" si="31"/>
        <v>0</v>
      </c>
      <c r="CW36" s="34">
        <f t="shared" si="32"/>
        <v>0</v>
      </c>
      <c r="CX36" s="38">
        <f t="shared" si="33"/>
        <v>8.9999999999999993E-3</v>
      </c>
      <c r="CY36" s="36">
        <f t="shared" si="13"/>
        <v>0.43639420000000007</v>
      </c>
      <c r="CZ36" s="37">
        <f t="shared" si="34"/>
        <v>3.2528047436459762E-3</v>
      </c>
      <c r="DA36" s="34" t="str">
        <f t="shared" si="14"/>
        <v/>
      </c>
    </row>
    <row r="37" spans="1:105" s="34" customFormat="1" x14ac:dyDescent="0.25">
      <c r="A37" s="34" t="s">
        <v>439</v>
      </c>
      <c r="B37" s="36" t="s">
        <v>101</v>
      </c>
      <c r="C37" s="34" t="s">
        <v>204</v>
      </c>
      <c r="D37" s="36">
        <v>0.26899999999999996</v>
      </c>
      <c r="E37" s="52">
        <f t="shared" si="25"/>
        <v>0.73100000000000009</v>
      </c>
      <c r="F37" s="36">
        <v>0.26885690003187079</v>
      </c>
      <c r="G37" s="36">
        <f t="shared" si="23"/>
        <v>1.4309996812916781E-4</v>
      </c>
      <c r="H37" s="52">
        <f t="shared" si="24"/>
        <v>-1.4309996812916781E-4</v>
      </c>
      <c r="K37" s="34" t="s">
        <v>438</v>
      </c>
      <c r="L37" s="34" t="s">
        <v>129</v>
      </c>
      <c r="Q37" s="34" t="s">
        <v>128</v>
      </c>
      <c r="R37" s="34" t="s">
        <v>437</v>
      </c>
      <c r="S37" s="34" t="s">
        <v>435</v>
      </c>
      <c r="AH37" s="36">
        <v>0.308</v>
      </c>
      <c r="AI37" s="36">
        <v>0.2659355961705831</v>
      </c>
      <c r="AJ37" s="36">
        <v>0.34669133436849581</v>
      </c>
      <c r="AK37" s="36">
        <v>0.47395607691538644</v>
      </c>
      <c r="AL37" s="36" t="s">
        <v>356</v>
      </c>
      <c r="AM37" s="36">
        <v>0.39703655313715591</v>
      </c>
      <c r="AN37" s="36">
        <v>0.36462592869895755</v>
      </c>
      <c r="AO37" s="36">
        <v>0.26885690003187079</v>
      </c>
      <c r="AP37" s="36">
        <f t="shared" si="26"/>
        <v>-9.5769028667086753E-2</v>
      </c>
      <c r="AQ37" s="36"/>
      <c r="AR37" s="36">
        <f t="shared" si="15"/>
        <v>0.69199999999999995</v>
      </c>
      <c r="AS37" s="36">
        <f t="shared" si="16"/>
        <v>0.73406440382941684</v>
      </c>
      <c r="AT37" s="36">
        <f t="shared" si="17"/>
        <v>0.65330866563150414</v>
      </c>
      <c r="AU37" s="36">
        <f t="shared" si="18"/>
        <v>0.52604392308461356</v>
      </c>
      <c r="AV37" s="36" t="s">
        <v>356</v>
      </c>
      <c r="AW37" s="36">
        <f t="shared" ref="AW37:AW68" si="35">1-AM37</f>
        <v>0.60296344686284409</v>
      </c>
      <c r="AX37" s="36">
        <f t="shared" ref="AX37:AX68" si="36">1-AN37</f>
        <v>0.63537407130104251</v>
      </c>
      <c r="AY37" s="36">
        <f t="shared" ref="AY37:AY68" si="37">1-AO37</f>
        <v>0.73114309996812921</v>
      </c>
      <c r="BA37" s="36">
        <f t="shared" si="27"/>
        <v>0.73100000000000009</v>
      </c>
      <c r="BB37" s="36">
        <v>0.26899999999999996</v>
      </c>
      <c r="BD37" s="36">
        <f t="shared" si="28"/>
        <v>0.69818582157157372</v>
      </c>
      <c r="BE37" s="36">
        <v>0.30181417842842634</v>
      </c>
      <c r="BF37" s="36"/>
      <c r="BH37" s="36">
        <v>0.32700000000000001</v>
      </c>
      <c r="BI37" s="36">
        <v>0.29899999999999999</v>
      </c>
      <c r="BJ37" s="36">
        <v>7.0999999999999952E-2</v>
      </c>
      <c r="BL37" s="41">
        <v>1065.32</v>
      </c>
      <c r="BN37" s="40">
        <v>45.892600000000002</v>
      </c>
      <c r="BQ37" s="34" t="s">
        <v>431</v>
      </c>
      <c r="BR37" s="34" t="s">
        <v>69</v>
      </c>
      <c r="BS37" s="39">
        <v>0.26123717649332451</v>
      </c>
      <c r="BU37" s="50" t="s">
        <v>207</v>
      </c>
      <c r="BV37" s="53" t="s">
        <v>313</v>
      </c>
      <c r="CA37" t="s">
        <v>436</v>
      </c>
      <c r="CB37"/>
      <c r="CC37"/>
      <c r="CD37"/>
      <c r="CE37"/>
      <c r="CI37" s="34" t="s">
        <v>435</v>
      </c>
      <c r="CR37" s="34" t="s">
        <v>204</v>
      </c>
      <c r="CS37" s="34" t="s">
        <v>434</v>
      </c>
      <c r="CT37" s="34">
        <f t="shared" si="29"/>
        <v>0</v>
      </c>
      <c r="CU37" s="34">
        <f t="shared" si="30"/>
        <v>1</v>
      </c>
      <c r="CV37" s="34">
        <f t="shared" si="31"/>
        <v>0</v>
      </c>
      <c r="CW37" s="34">
        <f t="shared" si="32"/>
        <v>0</v>
      </c>
      <c r="CX37" s="38">
        <f t="shared" si="33"/>
        <v>8.9999999999999993E-3</v>
      </c>
      <c r="CY37" s="36">
        <f t="shared" si="13"/>
        <v>0.29339419999999999</v>
      </c>
      <c r="CZ37" s="37">
        <f t="shared" si="34"/>
        <v>0</v>
      </c>
      <c r="DA37" s="34" t="str">
        <f t="shared" si="14"/>
        <v/>
      </c>
    </row>
    <row r="38" spans="1:105" s="34" customFormat="1" x14ac:dyDescent="0.25">
      <c r="A38" s="34" t="s">
        <v>182</v>
      </c>
      <c r="B38" s="36" t="s">
        <v>101</v>
      </c>
      <c r="C38" s="34" t="s">
        <v>204</v>
      </c>
      <c r="D38" s="36">
        <v>0.27399999999999997</v>
      </c>
      <c r="E38" s="52">
        <f t="shared" si="25"/>
        <v>0.72599999999999998</v>
      </c>
      <c r="F38" s="36">
        <v>0.27407176109912568</v>
      </c>
      <c r="G38" s="36">
        <f t="shared" si="23"/>
        <v>-7.1761099125711159E-5</v>
      </c>
      <c r="H38" s="52">
        <f t="shared" si="24"/>
        <v>7.1761099125711159E-5</v>
      </c>
      <c r="K38" s="34" t="s">
        <v>433</v>
      </c>
      <c r="L38" s="34" t="s">
        <v>129</v>
      </c>
      <c r="Q38" s="34" t="s">
        <v>128</v>
      </c>
      <c r="R38" s="50" t="s">
        <v>432</v>
      </c>
      <c r="V38" s="34" t="s">
        <v>429</v>
      </c>
      <c r="AH38" s="36">
        <v>0.28999999999999998</v>
      </c>
      <c r="AI38" s="36">
        <v>0.26070818552095654</v>
      </c>
      <c r="AJ38" s="36">
        <v>0.30528445996670694</v>
      </c>
      <c r="AK38" s="36">
        <v>0.42534722222222221</v>
      </c>
      <c r="AL38" s="36">
        <v>0.41899999999999998</v>
      </c>
      <c r="AM38" s="36">
        <v>0.3914635610517469</v>
      </c>
      <c r="AN38" s="36">
        <v>0.34187546886721681</v>
      </c>
      <c r="AO38" s="36">
        <v>0.27407176109912568</v>
      </c>
      <c r="AP38" s="36">
        <f t="shared" si="26"/>
        <v>-6.7803707768091137E-2</v>
      </c>
      <c r="AQ38" s="36"/>
      <c r="AR38" s="36">
        <f t="shared" si="15"/>
        <v>0.71</v>
      </c>
      <c r="AS38" s="36">
        <f t="shared" si="16"/>
        <v>0.73929181447904346</v>
      </c>
      <c r="AT38" s="36">
        <f t="shared" si="17"/>
        <v>0.69471554003329306</v>
      </c>
      <c r="AU38" s="36">
        <f t="shared" si="18"/>
        <v>0.57465277777777779</v>
      </c>
      <c r="AV38" s="36">
        <f t="shared" ref="AV38:AV50" si="38">1-AL38</f>
        <v>0.58099999999999996</v>
      </c>
      <c r="AW38" s="36">
        <f t="shared" si="35"/>
        <v>0.60853643894825304</v>
      </c>
      <c r="AX38" s="36">
        <f t="shared" si="36"/>
        <v>0.65812453113278324</v>
      </c>
      <c r="AY38" s="36">
        <f t="shared" si="37"/>
        <v>0.72592823890087432</v>
      </c>
      <c r="BA38" s="36">
        <f t="shared" si="27"/>
        <v>0.72599999999999998</v>
      </c>
      <c r="BB38" s="36">
        <v>0.27399999999999997</v>
      </c>
      <c r="BD38" s="36">
        <f t="shared" si="28"/>
        <v>0.70593871222735716</v>
      </c>
      <c r="BE38" s="36">
        <v>0.29406128777264284</v>
      </c>
      <c r="BF38" s="36"/>
      <c r="BH38" s="36">
        <v>0.34300000000000003</v>
      </c>
      <c r="BI38" s="36">
        <v>0.33300000000000002</v>
      </c>
      <c r="BJ38" s="36">
        <v>8.8999999999999968E-2</v>
      </c>
      <c r="BL38" s="41">
        <v>1203.96</v>
      </c>
      <c r="BN38" s="40">
        <v>42.7194</v>
      </c>
      <c r="BQ38" s="34" t="s">
        <v>431</v>
      </c>
      <c r="BR38" s="34" t="s">
        <v>142</v>
      </c>
      <c r="BS38" s="39">
        <v>0.14830979337445443</v>
      </c>
      <c r="BU38" s="50" t="s">
        <v>207</v>
      </c>
      <c r="BV38" s="53" t="s">
        <v>313</v>
      </c>
      <c r="CA38" t="s">
        <v>430</v>
      </c>
      <c r="CB38"/>
      <c r="CC38"/>
      <c r="CD38"/>
      <c r="CE38"/>
      <c r="CL38" s="34" t="s">
        <v>429</v>
      </c>
      <c r="CR38" s="34" t="s">
        <v>204</v>
      </c>
      <c r="CS38" s="34" t="s">
        <v>310</v>
      </c>
      <c r="CT38" s="34">
        <f t="shared" si="29"/>
        <v>0</v>
      </c>
      <c r="CU38" s="34">
        <f t="shared" si="30"/>
        <v>0</v>
      </c>
      <c r="CV38" s="34">
        <f t="shared" si="31"/>
        <v>0</v>
      </c>
      <c r="CW38" s="34">
        <f t="shared" si="32"/>
        <v>0</v>
      </c>
      <c r="CX38" s="38">
        <f t="shared" si="33"/>
        <v>0</v>
      </c>
      <c r="CY38" s="36">
        <f t="shared" si="13"/>
        <v>0.30739420000000001</v>
      </c>
      <c r="CZ38" s="37">
        <f t="shared" si="34"/>
        <v>1.1102230246251565E-16</v>
      </c>
      <c r="DA38" s="34" t="str">
        <f t="shared" si="14"/>
        <v/>
      </c>
    </row>
    <row r="39" spans="1:105" s="34" customFormat="1" x14ac:dyDescent="0.25">
      <c r="A39" s="34" t="s">
        <v>169</v>
      </c>
      <c r="B39" s="36" t="s">
        <v>101</v>
      </c>
      <c r="C39" s="34" t="s">
        <v>136</v>
      </c>
      <c r="D39" s="36">
        <v>0.40399999999999997</v>
      </c>
      <c r="E39" s="52">
        <f t="shared" si="25"/>
        <v>0.59600000000000009</v>
      </c>
      <c r="F39" s="36">
        <v>0.39215099608547138</v>
      </c>
      <c r="G39" s="36">
        <f t="shared" si="23"/>
        <v>1.1849003914528589E-2</v>
      </c>
      <c r="H39" s="52">
        <f t="shared" si="24"/>
        <v>-1.1849003914528589E-2</v>
      </c>
      <c r="J39" s="34" t="s">
        <v>428</v>
      </c>
      <c r="L39" s="34" t="s">
        <v>129</v>
      </c>
      <c r="Q39" s="34" t="s">
        <v>427</v>
      </c>
      <c r="R39" s="34" t="s">
        <v>426</v>
      </c>
      <c r="AG39" s="34" t="s">
        <v>297</v>
      </c>
      <c r="AH39" s="36"/>
      <c r="AI39" s="36"/>
      <c r="AJ39" s="36"/>
      <c r="AK39" s="36"/>
      <c r="AL39" s="36">
        <v>0.42899999999999999</v>
      </c>
      <c r="AM39" s="36">
        <v>0.50854374633000587</v>
      </c>
      <c r="AN39" s="36">
        <v>0.4900942223204664</v>
      </c>
      <c r="AO39" s="36">
        <v>0.39215099608547138</v>
      </c>
      <c r="AP39" s="36">
        <f t="shared" si="26"/>
        <v>-9.7943226234995018E-2</v>
      </c>
      <c r="AQ39" s="36"/>
      <c r="AR39" s="36"/>
      <c r="AS39" s="36"/>
      <c r="AT39" s="36"/>
      <c r="AU39" s="36"/>
      <c r="AV39" s="36">
        <f t="shared" si="38"/>
        <v>0.57099999999999995</v>
      </c>
      <c r="AW39" s="36">
        <f t="shared" si="35"/>
        <v>0.49145625366999413</v>
      </c>
      <c r="AX39" s="36">
        <f t="shared" si="36"/>
        <v>0.5099057776795336</v>
      </c>
      <c r="AY39" s="36">
        <f t="shared" si="37"/>
        <v>0.60784900391452856</v>
      </c>
      <c r="BA39" s="36">
        <f t="shared" si="27"/>
        <v>0.59600000000000009</v>
      </c>
      <c r="BB39" s="36">
        <v>0.40399999999999997</v>
      </c>
      <c r="BD39" s="36">
        <f t="shared" si="28"/>
        <v>0.60321419232632478</v>
      </c>
      <c r="BE39" s="36">
        <v>0.39678580767367522</v>
      </c>
      <c r="BF39" s="36"/>
      <c r="BH39" s="36">
        <v>0.4</v>
      </c>
      <c r="BI39" s="36">
        <v>0.48499999999999999</v>
      </c>
      <c r="BJ39" s="36">
        <v>7.0999999999999952E-2</v>
      </c>
      <c r="BL39" s="41">
        <v>1455.7</v>
      </c>
      <c r="BN39" s="40">
        <v>37.243000000000002</v>
      </c>
      <c r="BQ39" s="34" t="s">
        <v>421</v>
      </c>
      <c r="BR39" s="34" t="s">
        <v>54</v>
      </c>
      <c r="BS39" s="39">
        <v>0.73169710439011826</v>
      </c>
      <c r="CA39"/>
      <c r="CB39"/>
      <c r="CC39"/>
      <c r="CD39"/>
      <c r="CE39"/>
      <c r="CR39" s="34" t="s">
        <v>136</v>
      </c>
      <c r="CS39" s="34" t="s">
        <v>155</v>
      </c>
      <c r="CT39" s="34">
        <f t="shared" si="29"/>
        <v>0</v>
      </c>
      <c r="CU39" s="34">
        <f t="shared" si="30"/>
        <v>0</v>
      </c>
      <c r="CV39" s="34">
        <f t="shared" si="31"/>
        <v>0</v>
      </c>
      <c r="CW39" s="34">
        <f t="shared" si="32"/>
        <v>0</v>
      </c>
      <c r="CX39" s="38">
        <f t="shared" si="33"/>
        <v>0</v>
      </c>
      <c r="CY39" s="36">
        <f t="shared" si="13"/>
        <v>0.43739420000000001</v>
      </c>
      <c r="CZ39" s="37">
        <f t="shared" si="34"/>
        <v>3.699136042197404E-3</v>
      </c>
      <c r="DA39" s="34" t="str">
        <f t="shared" si="14"/>
        <v/>
      </c>
    </row>
    <row r="40" spans="1:105" s="34" customFormat="1" x14ac:dyDescent="0.25">
      <c r="A40" s="34" t="s">
        <v>156</v>
      </c>
      <c r="B40" s="36" t="s">
        <v>106</v>
      </c>
      <c r="C40" s="34" t="s">
        <v>136</v>
      </c>
      <c r="D40" s="36">
        <v>0.33399999999999996</v>
      </c>
      <c r="E40" s="52">
        <f t="shared" si="25"/>
        <v>0.66600000000000004</v>
      </c>
      <c r="F40" s="36">
        <v>0.33261945417185196</v>
      </c>
      <c r="G40" s="36">
        <f t="shared" si="23"/>
        <v>1.3805458281480054E-3</v>
      </c>
      <c r="H40" s="52">
        <f t="shared" si="24"/>
        <v>-1.3805458281480054E-3</v>
      </c>
      <c r="L40" s="34" t="s">
        <v>129</v>
      </c>
      <c r="O40" s="34" t="s">
        <v>425</v>
      </c>
      <c r="Q40" s="34" t="s">
        <v>424</v>
      </c>
      <c r="R40" s="34" t="s">
        <v>423</v>
      </c>
      <c r="AB40" s="34" t="s">
        <v>422</v>
      </c>
      <c r="AH40" s="36">
        <v>0.41200000000000003</v>
      </c>
      <c r="AI40" s="36">
        <v>0.31545023696682467</v>
      </c>
      <c r="AJ40" s="36">
        <v>0.36322896929230952</v>
      </c>
      <c r="AK40" s="36">
        <v>0.35912039716139249</v>
      </c>
      <c r="AL40" s="36">
        <v>0.35899999999999999</v>
      </c>
      <c r="AM40" s="36">
        <v>0.44122544122544122</v>
      </c>
      <c r="AN40" s="36">
        <v>0.3774044893711907</v>
      </c>
      <c r="AO40" s="36">
        <v>0.33261945417185196</v>
      </c>
      <c r="AP40" s="36">
        <f t="shared" si="26"/>
        <v>-4.4785035199338741E-2</v>
      </c>
      <c r="AQ40" s="36"/>
      <c r="AR40" s="36">
        <f t="shared" ref="AR40:AU43" si="39">1-AH40</f>
        <v>0.58799999999999997</v>
      </c>
      <c r="AS40" s="36">
        <f t="shared" si="39"/>
        <v>0.68454976303317538</v>
      </c>
      <c r="AT40" s="36">
        <f t="shared" si="39"/>
        <v>0.63677103070769048</v>
      </c>
      <c r="AU40" s="36">
        <f t="shared" si="39"/>
        <v>0.64087960283860745</v>
      </c>
      <c r="AV40" s="36">
        <f t="shared" si="38"/>
        <v>0.64100000000000001</v>
      </c>
      <c r="AW40" s="36">
        <f t="shared" si="35"/>
        <v>0.55877455877455873</v>
      </c>
      <c r="AX40" s="36">
        <f t="shared" si="36"/>
        <v>0.62259551062880925</v>
      </c>
      <c r="AY40" s="36">
        <f t="shared" si="37"/>
        <v>0.6673805458281481</v>
      </c>
      <c r="BA40" s="36">
        <f t="shared" si="27"/>
        <v>0.66600000000000004</v>
      </c>
      <c r="BB40" s="36">
        <v>0.33399999999999996</v>
      </c>
      <c r="BD40" s="36">
        <f t="shared" si="28"/>
        <v>0.60727498063630625</v>
      </c>
      <c r="BE40" s="36">
        <v>0.39272501936369375</v>
      </c>
      <c r="BF40" s="36"/>
      <c r="BH40" s="36">
        <v>0.78300000000000003</v>
      </c>
      <c r="BI40" s="36">
        <v>0.26800000000000002</v>
      </c>
      <c r="BJ40" s="36">
        <v>0.247</v>
      </c>
      <c r="BL40" s="41">
        <v>2506.64</v>
      </c>
      <c r="BN40" s="40">
        <v>36.485700000000001</v>
      </c>
      <c r="BQ40" s="34" t="s">
        <v>421</v>
      </c>
      <c r="BR40" s="34" t="s">
        <v>91</v>
      </c>
      <c r="BS40" s="39">
        <v>0.2683028956098818</v>
      </c>
      <c r="CA40"/>
      <c r="CB40"/>
      <c r="CC40"/>
      <c r="CD40"/>
      <c r="CE40"/>
      <c r="CR40" s="34" t="s">
        <v>136</v>
      </c>
      <c r="CS40" s="34" t="s">
        <v>410</v>
      </c>
      <c r="CT40" s="34">
        <f t="shared" si="29"/>
        <v>1</v>
      </c>
      <c r="CU40" s="34">
        <f t="shared" si="30"/>
        <v>0</v>
      </c>
      <c r="CV40" s="34">
        <f t="shared" si="31"/>
        <v>0</v>
      </c>
      <c r="CW40" s="34">
        <f t="shared" si="32"/>
        <v>0</v>
      </c>
      <c r="CX40" s="38">
        <f t="shared" si="33"/>
        <v>-0.01</v>
      </c>
      <c r="CY40" s="36">
        <f t="shared" si="13"/>
        <v>0.37739420000000001</v>
      </c>
      <c r="CZ40" s="37">
        <f t="shared" si="34"/>
        <v>7.8035848005697517E-8</v>
      </c>
      <c r="DA40" s="34" t="str">
        <f t="shared" si="14"/>
        <v/>
      </c>
    </row>
    <row r="41" spans="1:105" s="34" customFormat="1" x14ac:dyDescent="0.25">
      <c r="A41" s="34" t="s">
        <v>150</v>
      </c>
      <c r="B41" s="36" t="s">
        <v>94</v>
      </c>
      <c r="C41" s="34" t="s">
        <v>3</v>
      </c>
      <c r="D41" s="36">
        <v>0.51800000000000002</v>
      </c>
      <c r="E41" s="42">
        <f t="shared" si="25"/>
        <v>0.48199999999999998</v>
      </c>
      <c r="F41" s="36">
        <v>0.51673512190859039</v>
      </c>
      <c r="G41" s="36">
        <f t="shared" si="23"/>
        <v>1.2648780914096269E-3</v>
      </c>
      <c r="H41" s="42">
        <f t="shared" si="24"/>
        <v>-1.2648780914096269E-3</v>
      </c>
      <c r="J41" s="34" t="s">
        <v>129</v>
      </c>
      <c r="L41" s="34" t="s">
        <v>420</v>
      </c>
      <c r="O41" s="34" t="s">
        <v>419</v>
      </c>
      <c r="R41" s="34" t="s">
        <v>418</v>
      </c>
      <c r="U41" s="34" t="s">
        <v>416</v>
      </c>
      <c r="AH41" s="36">
        <v>0.53900000000000003</v>
      </c>
      <c r="AI41" s="36">
        <v>0.45622945921720942</v>
      </c>
      <c r="AJ41" s="36">
        <v>0.51504961592984533</v>
      </c>
      <c r="AK41" s="36">
        <v>0.55423007908553201</v>
      </c>
      <c r="AL41" s="36">
        <v>0.54799999999999993</v>
      </c>
      <c r="AM41" s="36">
        <v>0.62483613395304494</v>
      </c>
      <c r="AN41" s="36">
        <v>0.60445496479728089</v>
      </c>
      <c r="AO41" s="36">
        <v>0.51673512190859039</v>
      </c>
      <c r="AP41" s="36">
        <f t="shared" si="26"/>
        <v>-8.7719842888690502E-2</v>
      </c>
      <c r="AQ41" s="36"/>
      <c r="AR41" s="36">
        <f t="shared" si="39"/>
        <v>0.46099999999999997</v>
      </c>
      <c r="AS41" s="36">
        <f t="shared" si="39"/>
        <v>0.54377054078279063</v>
      </c>
      <c r="AT41" s="36">
        <f t="shared" si="39"/>
        <v>0.48495038407015467</v>
      </c>
      <c r="AU41" s="36">
        <f t="shared" si="39"/>
        <v>0.44576992091446799</v>
      </c>
      <c r="AV41" s="36">
        <f t="shared" si="38"/>
        <v>0.45200000000000007</v>
      </c>
      <c r="AW41" s="36">
        <f t="shared" si="35"/>
        <v>0.37516386604695506</v>
      </c>
      <c r="AX41" s="36">
        <f t="shared" si="36"/>
        <v>0.39554503520271911</v>
      </c>
      <c r="AY41" s="36">
        <f t="shared" si="37"/>
        <v>0.48326487809140961</v>
      </c>
      <c r="BA41" s="36">
        <f t="shared" si="27"/>
        <v>0.48199999999999998</v>
      </c>
      <c r="BB41" s="36">
        <v>0.51800000000000002</v>
      </c>
      <c r="BD41" s="36">
        <f t="shared" si="28"/>
        <v>0.44680468736701962</v>
      </c>
      <c r="BE41" s="36">
        <v>0.55319531263298038</v>
      </c>
      <c r="BF41" s="36"/>
      <c r="BH41" s="36">
        <v>0.61899999999999999</v>
      </c>
      <c r="BI41" s="36">
        <v>0.30099999999999999</v>
      </c>
      <c r="BJ41" s="36">
        <v>0.27900000000000003</v>
      </c>
      <c r="BL41" s="41">
        <v>1822.33</v>
      </c>
      <c r="BN41" s="40">
        <v>39.094099999999997</v>
      </c>
      <c r="BQ41" s="34" t="s">
        <v>411</v>
      </c>
      <c r="BR41" s="34" t="s">
        <v>67</v>
      </c>
      <c r="BS41" s="39">
        <v>0.62480067688502716</v>
      </c>
      <c r="CA41" t="s">
        <v>417</v>
      </c>
      <c r="CB41"/>
      <c r="CC41"/>
      <c r="CD41"/>
      <c r="CE41"/>
      <c r="CK41" s="34" t="s">
        <v>416</v>
      </c>
      <c r="CR41" s="34" t="s">
        <v>3</v>
      </c>
      <c r="CS41" s="34" t="s">
        <v>148</v>
      </c>
      <c r="CT41" s="34">
        <f t="shared" si="29"/>
        <v>0</v>
      </c>
      <c r="CU41" s="34">
        <f t="shared" si="30"/>
        <v>0</v>
      </c>
      <c r="CV41" s="34">
        <f t="shared" si="31"/>
        <v>1</v>
      </c>
      <c r="CW41" s="34">
        <f t="shared" si="32"/>
        <v>0</v>
      </c>
      <c r="CX41" s="38">
        <f t="shared" si="33"/>
        <v>5.0000000000000001E-3</v>
      </c>
      <c r="CY41" s="36">
        <f t="shared" si="13"/>
        <v>0.55639420000000006</v>
      </c>
      <c r="CZ41" s="37">
        <f t="shared" si="34"/>
        <v>0.99208090884493283</v>
      </c>
      <c r="DA41" s="34" t="str">
        <f t="shared" si="14"/>
        <v/>
      </c>
    </row>
    <row r="42" spans="1:105" s="34" customFormat="1" x14ac:dyDescent="0.25">
      <c r="A42" s="34" t="s">
        <v>143</v>
      </c>
      <c r="B42" s="36" t="s">
        <v>106</v>
      </c>
      <c r="C42" s="34" t="s">
        <v>136</v>
      </c>
      <c r="D42" s="36">
        <v>0.34299999999999997</v>
      </c>
      <c r="E42" s="52">
        <f t="shared" si="25"/>
        <v>0.65700000000000003</v>
      </c>
      <c r="F42" s="36">
        <v>0.34808901790033864</v>
      </c>
      <c r="G42" s="36">
        <f t="shared" si="23"/>
        <v>-5.089017900338666E-3</v>
      </c>
      <c r="H42" s="52">
        <f t="shared" si="24"/>
        <v>5.089017900338666E-3</v>
      </c>
      <c r="L42" s="34" t="s">
        <v>129</v>
      </c>
      <c r="O42" s="34" t="s">
        <v>415</v>
      </c>
      <c r="Q42" s="34" t="s">
        <v>414</v>
      </c>
      <c r="R42" s="34" t="s">
        <v>413</v>
      </c>
      <c r="AB42" s="34" t="s">
        <v>412</v>
      </c>
      <c r="AH42" s="36">
        <v>0.37799999999999995</v>
      </c>
      <c r="AI42" s="36">
        <v>0.28433159866087704</v>
      </c>
      <c r="AJ42" s="36">
        <v>0.34956260775173997</v>
      </c>
      <c r="AK42" s="36">
        <v>0.36179669030732858</v>
      </c>
      <c r="AL42" s="36">
        <v>0.36200000000000004</v>
      </c>
      <c r="AM42" s="36">
        <v>0.44021432600112803</v>
      </c>
      <c r="AN42" s="36">
        <v>0.40440833099841228</v>
      </c>
      <c r="AO42" s="36">
        <v>0.34808901790033864</v>
      </c>
      <c r="AP42" s="36">
        <f t="shared" si="26"/>
        <v>-5.6319313098073642E-2</v>
      </c>
      <c r="AQ42" s="36"/>
      <c r="AR42" s="36">
        <f t="shared" si="39"/>
        <v>0.62200000000000011</v>
      </c>
      <c r="AS42" s="36">
        <f t="shared" si="39"/>
        <v>0.71566840133912302</v>
      </c>
      <c r="AT42" s="36">
        <f t="shared" si="39"/>
        <v>0.65043739224826003</v>
      </c>
      <c r="AU42" s="36">
        <f t="shared" si="39"/>
        <v>0.63820330969267136</v>
      </c>
      <c r="AV42" s="36">
        <f t="shared" si="38"/>
        <v>0.6379999999999999</v>
      </c>
      <c r="AW42" s="36">
        <f t="shared" si="35"/>
        <v>0.55978567399887202</v>
      </c>
      <c r="AX42" s="36">
        <f t="shared" si="36"/>
        <v>0.59559166900158766</v>
      </c>
      <c r="AY42" s="36">
        <f t="shared" si="37"/>
        <v>0.65191098209966136</v>
      </c>
      <c r="BA42" s="36">
        <f t="shared" si="27"/>
        <v>0.65700000000000003</v>
      </c>
      <c r="BB42" s="36">
        <v>0.34299999999999997</v>
      </c>
      <c r="BD42" s="36">
        <f t="shared" si="28"/>
        <v>0.59627782464883039</v>
      </c>
      <c r="BE42" s="36">
        <v>0.40372217535116961</v>
      </c>
      <c r="BF42" s="36"/>
      <c r="BH42" s="36">
        <v>0.749</v>
      </c>
      <c r="BI42" s="36">
        <v>0.29499999999999998</v>
      </c>
      <c r="BJ42" s="36">
        <v>0.32399999999999995</v>
      </c>
      <c r="BL42" s="41">
        <v>2354.75</v>
      </c>
      <c r="BN42" s="40">
        <v>40.473500000000001</v>
      </c>
      <c r="BQ42" s="34" t="s">
        <v>411</v>
      </c>
      <c r="BR42" s="34" t="s">
        <v>55</v>
      </c>
      <c r="BS42" s="39">
        <v>0.37519932311497284</v>
      </c>
      <c r="CA42"/>
      <c r="CB42"/>
      <c r="CC42"/>
      <c r="CD42"/>
      <c r="CE42"/>
      <c r="CR42" s="34" t="s">
        <v>136</v>
      </c>
      <c r="CS42" s="34" t="s">
        <v>410</v>
      </c>
      <c r="CT42" s="34">
        <f t="shared" si="29"/>
        <v>1</v>
      </c>
      <c r="CU42" s="34">
        <f t="shared" si="30"/>
        <v>0</v>
      </c>
      <c r="CV42" s="34">
        <f t="shared" si="31"/>
        <v>0</v>
      </c>
      <c r="CW42" s="34">
        <f t="shared" si="32"/>
        <v>0</v>
      </c>
      <c r="CX42" s="38">
        <f t="shared" si="33"/>
        <v>-0.01</v>
      </c>
      <c r="CY42" s="36">
        <f t="shared" si="13"/>
        <v>0.38639420000000002</v>
      </c>
      <c r="CZ42" s="37">
        <f t="shared" si="34"/>
        <v>5.8628876498101334E-7</v>
      </c>
      <c r="DA42" s="34" t="str">
        <f t="shared" si="14"/>
        <v/>
      </c>
    </row>
    <row r="43" spans="1:105" s="34" customFormat="1" x14ac:dyDescent="0.25">
      <c r="A43" s="34" t="s">
        <v>132</v>
      </c>
      <c r="B43" s="36" t="s">
        <v>223</v>
      </c>
      <c r="C43" s="34" t="s">
        <v>3</v>
      </c>
      <c r="D43" s="36">
        <v>0.59499999999999997</v>
      </c>
      <c r="E43" s="42">
        <f t="shared" si="25"/>
        <v>0.40500000000000003</v>
      </c>
      <c r="F43" s="36">
        <v>0.63905391459571026</v>
      </c>
      <c r="G43" s="36">
        <f t="shared" si="23"/>
        <v>-4.4053914595710286E-2</v>
      </c>
      <c r="H43" s="42">
        <f t="shared" si="24"/>
        <v>4.4053914595710286E-2</v>
      </c>
      <c r="J43" s="34" t="s">
        <v>129</v>
      </c>
      <c r="L43" s="34" t="s">
        <v>409</v>
      </c>
      <c r="O43" s="34" t="s">
        <v>408</v>
      </c>
      <c r="R43" s="50" t="s">
        <v>407</v>
      </c>
      <c r="AG43" s="34" t="s">
        <v>406</v>
      </c>
      <c r="AH43" s="36">
        <v>0.61</v>
      </c>
      <c r="AI43" s="36">
        <v>0.57821887343578848</v>
      </c>
      <c r="AJ43" s="36">
        <v>0.57807062765820338</v>
      </c>
      <c r="AK43" s="36">
        <v>0.60756516211061662</v>
      </c>
      <c r="AL43" s="36">
        <v>0.60599999999999998</v>
      </c>
      <c r="AM43" s="36">
        <v>0.75013087292239233</v>
      </c>
      <c r="AN43" s="36">
        <v>0.71479984846571532</v>
      </c>
      <c r="AO43" s="36">
        <v>0.63905391459571026</v>
      </c>
      <c r="AP43" s="36">
        <f t="shared" si="26"/>
        <v>-7.5745933870005056E-2</v>
      </c>
      <c r="AQ43" s="36"/>
      <c r="AR43" s="36">
        <f t="shared" si="39"/>
        <v>0.39</v>
      </c>
      <c r="AS43" s="36">
        <f t="shared" si="39"/>
        <v>0.42178112656421152</v>
      </c>
      <c r="AT43" s="36">
        <f t="shared" si="39"/>
        <v>0.42192937234179662</v>
      </c>
      <c r="AU43" s="36">
        <f t="shared" si="39"/>
        <v>0.39243483788938338</v>
      </c>
      <c r="AV43" s="36">
        <f t="shared" si="38"/>
        <v>0.39400000000000002</v>
      </c>
      <c r="AW43" s="36">
        <f t="shared" si="35"/>
        <v>0.24986912707760767</v>
      </c>
      <c r="AX43" s="36">
        <f t="shared" si="36"/>
        <v>0.28520015153428468</v>
      </c>
      <c r="AY43" s="36">
        <f t="shared" si="37"/>
        <v>0.36094608540428974</v>
      </c>
      <c r="BA43" s="36">
        <f t="shared" si="27"/>
        <v>0.40500000000000003</v>
      </c>
      <c r="BB43" s="36">
        <v>0.59499999999999997</v>
      </c>
      <c r="BD43" s="36">
        <f t="shared" si="28"/>
        <v>0.37883124378840505</v>
      </c>
      <c r="BE43" s="36">
        <v>0.62116875621159495</v>
      </c>
      <c r="BF43" s="36"/>
      <c r="BH43" s="36">
        <v>0.51800000000000002</v>
      </c>
      <c r="BI43" s="36">
        <v>0.36899999999999999</v>
      </c>
      <c r="BJ43" s="36">
        <v>0.56400000000000006</v>
      </c>
      <c r="BL43" s="41">
        <v>1283.8399999999999</v>
      </c>
      <c r="BN43" s="40">
        <v>37.138199999999998</v>
      </c>
      <c r="BQ43" s="34" t="s">
        <v>396</v>
      </c>
      <c r="BR43" s="34" t="s">
        <v>52</v>
      </c>
      <c r="BS43" s="39">
        <v>0.83983272800937647</v>
      </c>
      <c r="CA43"/>
      <c r="CB43"/>
      <c r="CC43"/>
      <c r="CD43"/>
      <c r="CE43"/>
      <c r="CR43" s="34" t="s">
        <v>3</v>
      </c>
      <c r="CS43" s="34" t="s">
        <v>131</v>
      </c>
      <c r="CT43" s="34">
        <f t="shared" si="29"/>
        <v>0</v>
      </c>
      <c r="CU43" s="34">
        <f t="shared" si="30"/>
        <v>0</v>
      </c>
      <c r="CV43" s="34">
        <f t="shared" si="31"/>
        <v>0</v>
      </c>
      <c r="CW43" s="34">
        <f t="shared" si="32"/>
        <v>0</v>
      </c>
      <c r="CX43" s="38">
        <f t="shared" si="33"/>
        <v>0</v>
      </c>
      <c r="CY43" s="36">
        <f t="shared" si="13"/>
        <v>0.62839420000000001</v>
      </c>
      <c r="CZ43" s="37">
        <f t="shared" si="34"/>
        <v>0.99999998022893477</v>
      </c>
      <c r="DA43" s="34" t="str">
        <f t="shared" si="14"/>
        <v/>
      </c>
    </row>
    <row r="44" spans="1:105" s="34" customFormat="1" x14ac:dyDescent="0.25">
      <c r="A44" s="34" t="s">
        <v>123</v>
      </c>
      <c r="B44" s="36" t="s">
        <v>141</v>
      </c>
      <c r="C44" s="34" t="s">
        <v>3</v>
      </c>
      <c r="D44" s="36">
        <v>0.67500000000000004</v>
      </c>
      <c r="E44" s="42">
        <f t="shared" si="25"/>
        <v>0.32499999999999996</v>
      </c>
      <c r="F44" s="36">
        <v>0.68580323087278439</v>
      </c>
      <c r="G44" s="36">
        <f t="shared" si="23"/>
        <v>-1.0803230872784342E-2</v>
      </c>
      <c r="H44" s="42">
        <f t="shared" si="24"/>
        <v>1.0803230872784342E-2</v>
      </c>
      <c r="J44" s="34" t="s">
        <v>129</v>
      </c>
      <c r="L44" s="34" t="s">
        <v>405</v>
      </c>
      <c r="O44" s="34" t="s">
        <v>404</v>
      </c>
      <c r="R44" s="50" t="s">
        <v>403</v>
      </c>
      <c r="S44" s="34" t="s">
        <v>401</v>
      </c>
      <c r="AG44" s="34" t="s">
        <v>297</v>
      </c>
      <c r="AH44" s="36"/>
      <c r="AI44" s="36"/>
      <c r="AJ44" s="36"/>
      <c r="AK44" s="36"/>
      <c r="AL44" s="36">
        <v>0.70799999999999996</v>
      </c>
      <c r="AM44" s="36">
        <v>0.77048371174728525</v>
      </c>
      <c r="AN44" s="36">
        <v>0.75557064378742056</v>
      </c>
      <c r="AO44" s="36">
        <v>0.68580323087278439</v>
      </c>
      <c r="AP44" s="36">
        <f t="shared" si="26"/>
        <v>-6.9767412914636173E-2</v>
      </c>
      <c r="AQ44" s="36"/>
      <c r="AR44" s="36"/>
      <c r="AS44" s="36"/>
      <c r="AT44" s="36"/>
      <c r="AU44" s="36"/>
      <c r="AV44" s="36">
        <f t="shared" si="38"/>
        <v>0.29200000000000004</v>
      </c>
      <c r="AW44" s="36">
        <f t="shared" si="35"/>
        <v>0.22951628825271475</v>
      </c>
      <c r="AX44" s="36">
        <f t="shared" si="36"/>
        <v>0.24442935621257944</v>
      </c>
      <c r="AY44" s="36">
        <f t="shared" si="37"/>
        <v>0.31419676912721561</v>
      </c>
      <c r="BA44" s="36">
        <f t="shared" si="27"/>
        <v>0.32499999999999996</v>
      </c>
      <c r="BB44" s="36">
        <v>0.67500000000000004</v>
      </c>
      <c r="BD44" s="36">
        <f t="shared" si="28"/>
        <v>0.29869344463555281</v>
      </c>
      <c r="BE44" s="36">
        <v>0.70130655536444719</v>
      </c>
      <c r="BF44" s="36"/>
      <c r="BH44" s="36">
        <v>0.54300000000000004</v>
      </c>
      <c r="BI44" s="36">
        <v>0.50900000000000001</v>
      </c>
      <c r="BJ44" s="36">
        <v>0.59599999999999997</v>
      </c>
      <c r="BL44" s="41">
        <v>1396.1</v>
      </c>
      <c r="BN44" s="40">
        <v>33.025700000000001</v>
      </c>
      <c r="BQ44" s="34" t="s">
        <v>396</v>
      </c>
      <c r="BR44" s="34" t="s">
        <v>76</v>
      </c>
      <c r="BS44" s="39">
        <v>0.12253107410033426</v>
      </c>
      <c r="CA44" t="s">
        <v>402</v>
      </c>
      <c r="CB44"/>
      <c r="CC44"/>
      <c r="CD44"/>
      <c r="CE44"/>
      <c r="CI44" s="34" t="s">
        <v>401</v>
      </c>
      <c r="CR44" s="34" t="s">
        <v>3</v>
      </c>
      <c r="CS44" s="34" t="s">
        <v>131</v>
      </c>
      <c r="CT44" s="34">
        <f t="shared" si="29"/>
        <v>0</v>
      </c>
      <c r="CU44" s="34">
        <f t="shared" si="30"/>
        <v>0</v>
      </c>
      <c r="CV44" s="34">
        <f t="shared" si="31"/>
        <v>0</v>
      </c>
      <c r="CW44" s="34">
        <f t="shared" si="32"/>
        <v>0</v>
      </c>
      <c r="CX44" s="38">
        <f t="shared" si="33"/>
        <v>0</v>
      </c>
      <c r="CY44" s="36">
        <f t="shared" si="13"/>
        <v>0.70839420000000008</v>
      </c>
      <c r="CZ44" s="37">
        <f t="shared" si="34"/>
        <v>1</v>
      </c>
      <c r="DA44" s="34" t="str">
        <f t="shared" si="14"/>
        <v/>
      </c>
    </row>
    <row r="45" spans="1:105" s="34" customFormat="1" x14ac:dyDescent="0.25">
      <c r="A45" s="34" t="s">
        <v>118</v>
      </c>
      <c r="B45" s="36" t="s">
        <v>98</v>
      </c>
      <c r="C45" s="34" t="s">
        <v>3</v>
      </c>
      <c r="D45" s="36">
        <v>0.63800000000000001</v>
      </c>
      <c r="E45" s="42">
        <f t="shared" si="25"/>
        <v>0.36199999999999999</v>
      </c>
      <c r="F45" s="36">
        <v>0.65395750400661734</v>
      </c>
      <c r="G45" s="36">
        <f t="shared" si="23"/>
        <v>-1.5957504006617329E-2</v>
      </c>
      <c r="H45" s="42">
        <f t="shared" si="24"/>
        <v>1.5957504006617329E-2</v>
      </c>
      <c r="J45" s="34" t="s">
        <v>129</v>
      </c>
      <c r="L45" s="34" t="s">
        <v>400</v>
      </c>
      <c r="O45" s="34" t="s">
        <v>399</v>
      </c>
      <c r="R45" s="34" t="s">
        <v>398</v>
      </c>
      <c r="V45" s="34" t="s">
        <v>394</v>
      </c>
      <c r="AG45" s="34" t="s">
        <v>397</v>
      </c>
      <c r="AH45" s="36">
        <v>0.6409999999999999</v>
      </c>
      <c r="AI45" s="36">
        <v>0.59463606644872902</v>
      </c>
      <c r="AJ45" s="36">
        <v>0.58072614909231368</v>
      </c>
      <c r="AK45" s="36">
        <v>0.60944316140620991</v>
      </c>
      <c r="AL45" s="36">
        <v>0.626</v>
      </c>
      <c r="AM45" s="36">
        <v>0.72237822349570202</v>
      </c>
      <c r="AN45" s="36">
        <v>0.67746970513948401</v>
      </c>
      <c r="AO45" s="36">
        <v>0.65395750400661734</v>
      </c>
      <c r="AP45" s="36">
        <f t="shared" si="26"/>
        <v>-2.3512201132866672E-2</v>
      </c>
      <c r="AQ45" s="36"/>
      <c r="AR45" s="36">
        <f t="shared" ref="AR45:AR61" si="40">1-AH45</f>
        <v>0.3590000000000001</v>
      </c>
      <c r="AS45" s="36">
        <f t="shared" ref="AS45:AS61" si="41">1-AI45</f>
        <v>0.40536393355127098</v>
      </c>
      <c r="AT45" s="36">
        <f t="shared" ref="AT45:AT61" si="42">1-AJ45</f>
        <v>0.41927385090768632</v>
      </c>
      <c r="AU45" s="36">
        <f t="shared" ref="AU45:AU61" si="43">1-AK45</f>
        <v>0.39055683859379009</v>
      </c>
      <c r="AV45" s="36">
        <f t="shared" si="38"/>
        <v>0.374</v>
      </c>
      <c r="AW45" s="36">
        <f t="shared" si="35"/>
        <v>0.27762177650429798</v>
      </c>
      <c r="AX45" s="36">
        <f t="shared" si="36"/>
        <v>0.32253029486051599</v>
      </c>
      <c r="AY45" s="36">
        <f t="shared" si="37"/>
        <v>0.34604249599338266</v>
      </c>
      <c r="BA45" s="36">
        <f t="shared" si="27"/>
        <v>0.36199999999999999</v>
      </c>
      <c r="BB45" s="36">
        <v>0.63800000000000001</v>
      </c>
      <c r="BD45" s="36">
        <f t="shared" si="28"/>
        <v>0.35313845271946076</v>
      </c>
      <c r="BE45" s="36">
        <v>0.64686154728053924</v>
      </c>
      <c r="BF45" s="36"/>
      <c r="BH45" s="36">
        <v>0.35299999999999998</v>
      </c>
      <c r="BI45" s="36">
        <v>0.32900000000000001</v>
      </c>
      <c r="BJ45" s="36">
        <v>0.21999999999999997</v>
      </c>
      <c r="BL45" s="41">
        <v>1242.6500000000001</v>
      </c>
      <c r="BN45" s="40">
        <v>38.552300000000002</v>
      </c>
      <c r="BQ45" s="34" t="s">
        <v>396</v>
      </c>
      <c r="BR45" s="34" t="s">
        <v>74</v>
      </c>
      <c r="BS45" s="39">
        <v>3.7636197890289255E-2</v>
      </c>
      <c r="BU45" s="51"/>
      <c r="CA45" t="s">
        <v>395</v>
      </c>
      <c r="CB45"/>
      <c r="CC45"/>
      <c r="CD45"/>
      <c r="CE45"/>
      <c r="CL45" s="34" t="s">
        <v>394</v>
      </c>
      <c r="CR45" s="34" t="s">
        <v>3</v>
      </c>
      <c r="CS45" s="34" t="s">
        <v>131</v>
      </c>
      <c r="CT45" s="34">
        <f t="shared" si="29"/>
        <v>0</v>
      </c>
      <c r="CU45" s="34">
        <f t="shared" si="30"/>
        <v>0</v>
      </c>
      <c r="CV45" s="34">
        <f t="shared" si="31"/>
        <v>0</v>
      </c>
      <c r="CW45" s="34">
        <f t="shared" si="32"/>
        <v>0</v>
      </c>
      <c r="CX45" s="38">
        <f t="shared" si="33"/>
        <v>0</v>
      </c>
      <c r="CY45" s="36">
        <f t="shared" si="13"/>
        <v>0.67139420000000005</v>
      </c>
      <c r="CZ45" s="37">
        <f t="shared" si="34"/>
        <v>0.99999999999988709</v>
      </c>
      <c r="DA45" s="34" t="str">
        <f t="shared" si="14"/>
        <v/>
      </c>
    </row>
    <row r="46" spans="1:105" s="34" customFormat="1" x14ac:dyDescent="0.25">
      <c r="A46" s="34" t="s">
        <v>114</v>
      </c>
      <c r="B46" s="36" t="s">
        <v>98</v>
      </c>
      <c r="C46" s="34" t="s">
        <v>204</v>
      </c>
      <c r="D46" s="36">
        <v>0.28100000000000003</v>
      </c>
      <c r="E46" s="52">
        <f t="shared" si="25"/>
        <v>0.71899999999999997</v>
      </c>
      <c r="F46" s="36">
        <v>0.27915445674130129</v>
      </c>
      <c r="G46" s="36">
        <f t="shared" si="23"/>
        <v>1.8455432586987341E-3</v>
      </c>
      <c r="H46" s="52">
        <f t="shared" si="24"/>
        <v>-1.8455432586987341E-3</v>
      </c>
      <c r="L46" s="34" t="s">
        <v>129</v>
      </c>
      <c r="P46" s="34" t="s">
        <v>393</v>
      </c>
      <c r="Q46" s="34" t="s">
        <v>392</v>
      </c>
      <c r="R46" s="34" t="s">
        <v>391</v>
      </c>
      <c r="S46" s="34" t="s">
        <v>386</v>
      </c>
      <c r="V46" s="34" t="s">
        <v>385</v>
      </c>
      <c r="AC46" s="34" t="s">
        <v>390</v>
      </c>
      <c r="AG46" s="34" t="s">
        <v>389</v>
      </c>
      <c r="AH46" s="36">
        <v>0.22399999999999998</v>
      </c>
      <c r="AI46" s="36">
        <v>0.20386670858220685</v>
      </c>
      <c r="AJ46" s="36">
        <v>0.28780581161685431</v>
      </c>
      <c r="AK46" s="36">
        <v>0.35010192674426249</v>
      </c>
      <c r="AL46" s="36">
        <v>0.38</v>
      </c>
      <c r="AM46" s="36">
        <v>0.3292062604807155</v>
      </c>
      <c r="AN46" s="36">
        <v>0.27917633244551365</v>
      </c>
      <c r="AO46" s="36">
        <v>0.27915445674130129</v>
      </c>
      <c r="AP46" s="36">
        <f t="shared" si="26"/>
        <v>-2.1875704212359626E-5</v>
      </c>
      <c r="AQ46" s="36"/>
      <c r="AR46" s="36">
        <f t="shared" si="40"/>
        <v>0.77600000000000002</v>
      </c>
      <c r="AS46" s="36">
        <f t="shared" si="41"/>
        <v>0.79613329141779321</v>
      </c>
      <c r="AT46" s="36">
        <f t="shared" si="42"/>
        <v>0.71219418838314574</v>
      </c>
      <c r="AU46" s="36">
        <f t="shared" si="43"/>
        <v>0.64989807325573756</v>
      </c>
      <c r="AV46" s="36">
        <f t="shared" si="38"/>
        <v>0.62</v>
      </c>
      <c r="AW46" s="36">
        <f t="shared" si="35"/>
        <v>0.67079373951928445</v>
      </c>
      <c r="AX46" s="36">
        <f t="shared" si="36"/>
        <v>0.72082366755448635</v>
      </c>
      <c r="AY46" s="36">
        <f t="shared" si="37"/>
        <v>0.72084554325869865</v>
      </c>
      <c r="BA46" s="36">
        <f t="shared" si="27"/>
        <v>0.71899999999999997</v>
      </c>
      <c r="BB46" s="36">
        <v>0.28100000000000003</v>
      </c>
      <c r="BD46" s="36">
        <f t="shared" si="28"/>
        <v>0.71253748776532921</v>
      </c>
      <c r="BE46" s="36">
        <v>0.28746251223467073</v>
      </c>
      <c r="BF46" s="36"/>
      <c r="BH46" s="36">
        <v>0.33100000000000002</v>
      </c>
      <c r="BI46" s="36">
        <v>0.27800000000000002</v>
      </c>
      <c r="BJ46" s="36">
        <v>6.0000000000000053E-2</v>
      </c>
      <c r="BL46" s="41">
        <v>1148.72</v>
      </c>
      <c r="BN46" s="40">
        <v>44.0687</v>
      </c>
      <c r="BQ46" s="34" t="s">
        <v>379</v>
      </c>
      <c r="BR46" s="34" t="s">
        <v>58</v>
      </c>
      <c r="BS46" s="39">
        <v>0.94042778858051967</v>
      </c>
      <c r="BU46" s="51" t="s">
        <v>207</v>
      </c>
      <c r="BV46" s="53"/>
      <c r="CA46" t="s">
        <v>388</v>
      </c>
      <c r="CB46" t="s">
        <v>387</v>
      </c>
      <c r="CC46"/>
      <c r="CD46"/>
      <c r="CE46"/>
      <c r="CI46" s="34" t="s">
        <v>386</v>
      </c>
      <c r="CL46" s="34" t="s">
        <v>385</v>
      </c>
      <c r="CR46" s="34" t="s">
        <v>204</v>
      </c>
      <c r="CS46" s="34" t="s">
        <v>203</v>
      </c>
      <c r="CT46" s="34">
        <f t="shared" si="29"/>
        <v>1</v>
      </c>
      <c r="CU46" s="34">
        <f t="shared" si="30"/>
        <v>0</v>
      </c>
      <c r="CV46" s="34">
        <f t="shared" si="31"/>
        <v>0</v>
      </c>
      <c r="CW46" s="34">
        <f t="shared" si="32"/>
        <v>0</v>
      </c>
      <c r="CX46" s="38">
        <f t="shared" si="33"/>
        <v>-0.01</v>
      </c>
      <c r="CY46" s="36">
        <f t="shared" si="13"/>
        <v>0.32439420000000008</v>
      </c>
      <c r="CZ46" s="37">
        <f t="shared" si="34"/>
        <v>2.8976820942716586E-14</v>
      </c>
      <c r="DA46" s="34" t="str">
        <f t="shared" si="14"/>
        <v/>
      </c>
    </row>
    <row r="47" spans="1:105" s="34" customFormat="1" x14ac:dyDescent="0.25">
      <c r="A47" s="34" t="s">
        <v>111</v>
      </c>
      <c r="B47" s="36" t="s">
        <v>110</v>
      </c>
      <c r="C47" s="34" t="s">
        <v>3</v>
      </c>
      <c r="D47" s="36">
        <v>0.52300000000000002</v>
      </c>
      <c r="E47" s="42">
        <f t="shared" si="25"/>
        <v>0.47699999999999998</v>
      </c>
      <c r="F47" s="36">
        <v>0.51259622113365988</v>
      </c>
      <c r="G47" s="36">
        <f t="shared" si="23"/>
        <v>1.0403778866340141E-2</v>
      </c>
      <c r="H47" s="42">
        <f t="shared" si="24"/>
        <v>-1.0403778866340141E-2</v>
      </c>
      <c r="J47" s="34" t="s">
        <v>129</v>
      </c>
      <c r="O47" s="34" t="s">
        <v>384</v>
      </c>
      <c r="Q47" s="34" t="s">
        <v>383</v>
      </c>
      <c r="R47" s="34" t="s">
        <v>382</v>
      </c>
      <c r="S47" s="51" t="s">
        <v>377</v>
      </c>
      <c r="AD47" s="34" t="s">
        <v>381</v>
      </c>
      <c r="AG47" s="34" t="s">
        <v>380</v>
      </c>
      <c r="AH47" s="36">
        <v>0.42599999999999999</v>
      </c>
      <c r="AI47" s="36">
        <v>0.37113296804274581</v>
      </c>
      <c r="AJ47" s="36">
        <v>0.42109749936852742</v>
      </c>
      <c r="AK47" s="36">
        <v>0.51625653827864959</v>
      </c>
      <c r="AL47" s="36">
        <v>0.49700000000000005</v>
      </c>
      <c r="AM47" s="36">
        <v>0.59233459071009664</v>
      </c>
      <c r="AN47" s="36">
        <v>0.58165335524795192</v>
      </c>
      <c r="AO47" s="36">
        <v>0.51259622113365988</v>
      </c>
      <c r="AP47" s="36">
        <f t="shared" si="26"/>
        <v>-6.905713411429204E-2</v>
      </c>
      <c r="AQ47" s="36"/>
      <c r="AR47" s="36">
        <f t="shared" si="40"/>
        <v>0.57400000000000007</v>
      </c>
      <c r="AS47" s="36">
        <f t="shared" si="41"/>
        <v>0.62886703195725424</v>
      </c>
      <c r="AT47" s="36">
        <f t="shared" si="42"/>
        <v>0.57890250063147253</v>
      </c>
      <c r="AU47" s="36">
        <f t="shared" si="43"/>
        <v>0.48374346172135041</v>
      </c>
      <c r="AV47" s="36">
        <f t="shared" si="38"/>
        <v>0.50299999999999989</v>
      </c>
      <c r="AW47" s="36">
        <f t="shared" si="35"/>
        <v>0.40766540928990336</v>
      </c>
      <c r="AX47" s="36">
        <f t="shared" si="36"/>
        <v>0.41834664475204808</v>
      </c>
      <c r="AY47" s="36">
        <f t="shared" si="37"/>
        <v>0.48740377886634012</v>
      </c>
      <c r="BA47" s="36">
        <f t="shared" si="27"/>
        <v>0.47699999999999998</v>
      </c>
      <c r="BB47" s="36">
        <v>0.52300000000000002</v>
      </c>
      <c r="BD47" s="36">
        <f t="shared" si="28"/>
        <v>0.48599892989701765</v>
      </c>
      <c r="BE47" s="36">
        <v>0.51400107010298235</v>
      </c>
      <c r="BF47" s="36"/>
      <c r="BH47" s="36">
        <v>0.48299999999999998</v>
      </c>
      <c r="BI47" s="36">
        <v>0.432</v>
      </c>
      <c r="BJ47" s="36">
        <v>8.1999999999999962E-2</v>
      </c>
      <c r="BL47" s="41">
        <v>1558.15</v>
      </c>
      <c r="BN47" s="40">
        <v>42.129800000000003</v>
      </c>
      <c r="BQ47" s="34" t="s">
        <v>379</v>
      </c>
      <c r="BR47" s="34" t="s">
        <v>79</v>
      </c>
      <c r="BS47" s="39">
        <v>5.9572211419480291E-2</v>
      </c>
      <c r="CA47" t="s">
        <v>378</v>
      </c>
      <c r="CB47"/>
      <c r="CC47"/>
      <c r="CD47"/>
      <c r="CE47"/>
      <c r="CI47" s="51" t="s">
        <v>377</v>
      </c>
      <c r="CR47" s="34" t="s">
        <v>3</v>
      </c>
      <c r="CS47" s="34" t="s">
        <v>120</v>
      </c>
      <c r="CT47" s="34">
        <f t="shared" si="29"/>
        <v>1</v>
      </c>
      <c r="CU47" s="34">
        <f t="shared" si="30"/>
        <v>0</v>
      </c>
      <c r="CV47" s="34">
        <f t="shared" si="31"/>
        <v>0</v>
      </c>
      <c r="CW47" s="34">
        <f t="shared" si="32"/>
        <v>0</v>
      </c>
      <c r="CX47" s="38">
        <f t="shared" si="33"/>
        <v>-0.01</v>
      </c>
      <c r="CY47" s="36">
        <f t="shared" si="13"/>
        <v>0.54639420000000005</v>
      </c>
      <c r="CZ47" s="37">
        <f t="shared" si="34"/>
        <v>0.97641714605179897</v>
      </c>
      <c r="DA47" s="34" t="str">
        <f t="shared" si="14"/>
        <v/>
      </c>
    </row>
    <row r="48" spans="1:105" s="34" customFormat="1" x14ac:dyDescent="0.25">
      <c r="A48" s="34" t="s">
        <v>108</v>
      </c>
      <c r="B48" s="36" t="s">
        <v>106</v>
      </c>
      <c r="C48" s="34" t="s">
        <v>136</v>
      </c>
      <c r="D48" s="36">
        <v>0.29499999999999998</v>
      </c>
      <c r="E48" s="52">
        <f t="shared" si="25"/>
        <v>0.70500000000000007</v>
      </c>
      <c r="F48" s="36">
        <v>0.29562883435582821</v>
      </c>
      <c r="G48" s="36">
        <f t="shared" si="23"/>
        <v>-6.2883435582822278E-4</v>
      </c>
      <c r="H48" s="52">
        <f t="shared" si="24"/>
        <v>6.2883435582822278E-4</v>
      </c>
      <c r="J48" s="34" t="s">
        <v>376</v>
      </c>
      <c r="L48" s="34" t="s">
        <v>129</v>
      </c>
      <c r="Q48" s="34" t="s">
        <v>375</v>
      </c>
      <c r="R48" s="34" t="s">
        <v>374</v>
      </c>
      <c r="AH48" s="36">
        <v>0.36700000000000005</v>
      </c>
      <c r="AI48" s="36">
        <v>0.27491027732463297</v>
      </c>
      <c r="AJ48" s="36">
        <v>0.32336182336182334</v>
      </c>
      <c r="AK48" s="36">
        <v>0.33372225025227042</v>
      </c>
      <c r="AL48" s="36">
        <v>0.33899999999999997</v>
      </c>
      <c r="AM48" s="36">
        <v>0.39789647476075457</v>
      </c>
      <c r="AN48" s="36">
        <v>0.386752611691487</v>
      </c>
      <c r="AO48" s="36">
        <v>0.29562883435582821</v>
      </c>
      <c r="AP48" s="36">
        <f t="shared" si="26"/>
        <v>-9.1123777335658795E-2</v>
      </c>
      <c r="AQ48" s="36"/>
      <c r="AR48" s="36">
        <f t="shared" si="40"/>
        <v>0.63300000000000001</v>
      </c>
      <c r="AS48" s="36">
        <f t="shared" si="41"/>
        <v>0.72508972267536698</v>
      </c>
      <c r="AT48" s="36">
        <f t="shared" si="42"/>
        <v>0.6766381766381766</v>
      </c>
      <c r="AU48" s="36">
        <f t="shared" si="43"/>
        <v>0.66627774974772958</v>
      </c>
      <c r="AV48" s="36">
        <f t="shared" si="38"/>
        <v>0.66100000000000003</v>
      </c>
      <c r="AW48" s="36">
        <f t="shared" si="35"/>
        <v>0.60210352523924549</v>
      </c>
      <c r="AX48" s="36">
        <f t="shared" si="36"/>
        <v>0.613247388308513</v>
      </c>
      <c r="AY48" s="36">
        <f t="shared" si="37"/>
        <v>0.70437116564417179</v>
      </c>
      <c r="BA48" s="36">
        <f t="shared" si="27"/>
        <v>0.70500000000000007</v>
      </c>
      <c r="BB48" s="36">
        <v>0.29499999999999998</v>
      </c>
      <c r="BD48" s="36">
        <f t="shared" si="28"/>
        <v>0.66919258021692896</v>
      </c>
      <c r="BE48" s="36">
        <v>0.33080741978307099</v>
      </c>
      <c r="BF48" s="36"/>
      <c r="BH48" s="36">
        <v>0.76100000000000001</v>
      </c>
      <c r="BI48" s="36">
        <v>0.26300000000000001</v>
      </c>
      <c r="BJ48" s="36">
        <v>0.25800000000000001</v>
      </c>
      <c r="BL48" s="41">
        <v>2488.91</v>
      </c>
      <c r="BN48" s="40">
        <v>38.551699999999997</v>
      </c>
      <c r="BQ48" s="34" t="s">
        <v>366</v>
      </c>
      <c r="BR48" s="34" t="s">
        <v>64</v>
      </c>
      <c r="BS48" s="39">
        <v>0.39382711542673576</v>
      </c>
      <c r="CA48"/>
      <c r="CB48"/>
      <c r="CC48"/>
      <c r="CD48"/>
      <c r="CE48"/>
      <c r="CR48" s="34" t="s">
        <v>136</v>
      </c>
      <c r="CS48" s="34" t="s">
        <v>155</v>
      </c>
      <c r="CT48" s="34">
        <f t="shared" si="29"/>
        <v>0</v>
      </c>
      <c r="CU48" s="34">
        <f t="shared" si="30"/>
        <v>0</v>
      </c>
      <c r="CV48" s="34">
        <f t="shared" si="31"/>
        <v>0</v>
      </c>
      <c r="CW48" s="34">
        <f t="shared" si="32"/>
        <v>0</v>
      </c>
      <c r="CX48" s="38">
        <f t="shared" si="33"/>
        <v>0</v>
      </c>
      <c r="CY48" s="36">
        <f t="shared" si="13"/>
        <v>0.32839420000000002</v>
      </c>
      <c r="CZ48" s="37">
        <f t="shared" si="34"/>
        <v>1.0558220964185239E-13</v>
      </c>
      <c r="DA48" s="34" t="str">
        <f t="shared" si="14"/>
        <v/>
      </c>
    </row>
    <row r="49" spans="1:105" s="34" customFormat="1" x14ac:dyDescent="0.25">
      <c r="A49" s="34" t="s">
        <v>65</v>
      </c>
      <c r="B49" s="36" t="s">
        <v>130</v>
      </c>
      <c r="C49" s="34" t="s">
        <v>246</v>
      </c>
      <c r="D49" s="36">
        <v>0.54700000000000004</v>
      </c>
      <c r="E49" s="42">
        <f t="shared" si="25"/>
        <v>0.45299999999999996</v>
      </c>
      <c r="F49" s="36">
        <v>0.64413740582587642</v>
      </c>
      <c r="G49" s="36"/>
      <c r="H49" s="42"/>
      <c r="J49" s="34" t="s">
        <v>129</v>
      </c>
      <c r="L49" s="34" t="s">
        <v>373</v>
      </c>
      <c r="O49" s="34" t="s">
        <v>372</v>
      </c>
      <c r="R49" s="34" t="s">
        <v>371</v>
      </c>
      <c r="Z49" s="50" t="s">
        <v>370</v>
      </c>
      <c r="AH49" s="36">
        <v>0.67900000000000005</v>
      </c>
      <c r="AI49" s="36">
        <v>0.61970205623164076</v>
      </c>
      <c r="AJ49" s="36">
        <v>0.65655467925231326</v>
      </c>
      <c r="AK49" s="36">
        <v>0.63760092272202995</v>
      </c>
      <c r="AL49" s="36">
        <v>0.623</v>
      </c>
      <c r="AM49" s="36">
        <v>0.72162409401168104</v>
      </c>
      <c r="AN49" s="36">
        <v>0.71430371373673107</v>
      </c>
      <c r="AO49" s="36">
        <v>0.64413740582587642</v>
      </c>
      <c r="AP49" s="36">
        <f t="shared" si="26"/>
        <v>-7.0166307910854653E-2</v>
      </c>
      <c r="AQ49" s="36"/>
      <c r="AR49" s="36">
        <f t="shared" si="40"/>
        <v>0.32099999999999995</v>
      </c>
      <c r="AS49" s="36">
        <f t="shared" si="41"/>
        <v>0.38029794376835924</v>
      </c>
      <c r="AT49" s="36">
        <f t="shared" si="42"/>
        <v>0.34344532074768674</v>
      </c>
      <c r="AU49" s="36">
        <f t="shared" si="43"/>
        <v>0.36239907727797005</v>
      </c>
      <c r="AV49" s="36">
        <f t="shared" si="38"/>
        <v>0.377</v>
      </c>
      <c r="AW49" s="36">
        <f t="shared" si="35"/>
        <v>0.27837590598831896</v>
      </c>
      <c r="AX49" s="36">
        <f t="shared" si="36"/>
        <v>0.28569628626326893</v>
      </c>
      <c r="AY49" s="36">
        <f t="shared" si="37"/>
        <v>0.35586259417412358</v>
      </c>
      <c r="BA49" s="36">
        <f t="shared" si="27"/>
        <v>0.45299999999999996</v>
      </c>
      <c r="BB49" s="36">
        <v>0.54700000000000004</v>
      </c>
      <c r="BD49" s="36">
        <f t="shared" si="28"/>
        <v>0.33277959624565412</v>
      </c>
      <c r="BE49" s="36">
        <v>0.66722040375434588</v>
      </c>
      <c r="BF49" s="36">
        <v>0.43</v>
      </c>
      <c r="BH49" s="36">
        <v>0.76600000000000001</v>
      </c>
      <c r="BI49" s="36">
        <v>0.182</v>
      </c>
      <c r="BJ49" s="36">
        <v>0.48599999999999999</v>
      </c>
      <c r="BL49" s="41">
        <v>1849.01</v>
      </c>
      <c r="BN49" s="40">
        <v>29.375599999999999</v>
      </c>
      <c r="BQ49" s="34" t="s">
        <v>366</v>
      </c>
      <c r="BR49" s="34" t="s">
        <v>96</v>
      </c>
      <c r="BS49" s="39">
        <v>0.3154340366503614</v>
      </c>
      <c r="BU49" s="51" t="s">
        <v>246</v>
      </c>
      <c r="CA49" t="s">
        <v>370</v>
      </c>
      <c r="CB49"/>
      <c r="CC49"/>
      <c r="CD49"/>
      <c r="CE49"/>
      <c r="CP49" s="50" t="s">
        <v>370</v>
      </c>
      <c r="CR49" s="34" t="s">
        <v>3</v>
      </c>
      <c r="CS49" s="34" t="s">
        <v>131</v>
      </c>
      <c r="CT49" s="34">
        <f t="shared" si="29"/>
        <v>0</v>
      </c>
      <c r="CU49" s="34">
        <f t="shared" si="30"/>
        <v>0</v>
      </c>
      <c r="CV49" s="34">
        <f t="shared" si="31"/>
        <v>0</v>
      </c>
      <c r="CW49" s="34">
        <f t="shared" si="32"/>
        <v>0</v>
      </c>
      <c r="CX49" s="38">
        <f t="shared" si="33"/>
        <v>0</v>
      </c>
      <c r="CY49" s="36">
        <f t="shared" si="13"/>
        <v>0.58039420000000008</v>
      </c>
      <c r="CZ49" s="37">
        <f t="shared" si="34"/>
        <v>0.99970847267251572</v>
      </c>
      <c r="DA49" s="34" t="str">
        <f t="shared" si="14"/>
        <v/>
      </c>
    </row>
    <row r="50" spans="1:105" s="34" customFormat="1" x14ac:dyDescent="0.25">
      <c r="A50" s="34" t="s">
        <v>103</v>
      </c>
      <c r="B50" s="36" t="s">
        <v>98</v>
      </c>
      <c r="C50" s="34" t="s">
        <v>3</v>
      </c>
      <c r="D50" s="36">
        <v>0.63600000000000001</v>
      </c>
      <c r="E50" s="42">
        <f t="shared" si="25"/>
        <v>0.36399999999999999</v>
      </c>
      <c r="F50" s="36">
        <v>0.62780209222886418</v>
      </c>
      <c r="G50" s="36">
        <f t="shared" ref="G50:G64" si="44">D50-F50</f>
        <v>8.1979077711358261E-3</v>
      </c>
      <c r="H50" s="42">
        <f t="shared" ref="H50:H64" si="45">0-G50</f>
        <v>-8.1979077711358261E-3</v>
      </c>
      <c r="J50" s="34" t="s">
        <v>129</v>
      </c>
      <c r="L50" s="34" t="s">
        <v>369</v>
      </c>
      <c r="O50" s="50" t="s">
        <v>368</v>
      </c>
      <c r="R50" s="50" t="s">
        <v>367</v>
      </c>
      <c r="S50" s="34" t="s">
        <v>362</v>
      </c>
      <c r="T50" s="34" t="s">
        <v>361</v>
      </c>
      <c r="U50" s="34" t="s">
        <v>360</v>
      </c>
      <c r="AH50" s="36">
        <v>0.622</v>
      </c>
      <c r="AI50" s="36">
        <v>0.58984033818956783</v>
      </c>
      <c r="AJ50" s="36">
        <v>0.62161212901715157</v>
      </c>
      <c r="AK50" s="36">
        <v>0.61311375882219021</v>
      </c>
      <c r="AL50" s="36">
        <v>0.56700000000000006</v>
      </c>
      <c r="AM50" s="36">
        <v>0.65262760875031434</v>
      </c>
      <c r="AN50" s="36">
        <v>0.63538897749424061</v>
      </c>
      <c r="AO50" s="36">
        <v>0.62780209222886418</v>
      </c>
      <c r="AP50" s="36">
        <f t="shared" si="26"/>
        <v>-7.5868852653764307E-3</v>
      </c>
      <c r="AQ50" s="36"/>
      <c r="AR50" s="36">
        <f t="shared" si="40"/>
        <v>0.378</v>
      </c>
      <c r="AS50" s="36">
        <f t="shared" si="41"/>
        <v>0.41015966181043217</v>
      </c>
      <c r="AT50" s="36">
        <f t="shared" si="42"/>
        <v>0.37838787098284843</v>
      </c>
      <c r="AU50" s="36">
        <f t="shared" si="43"/>
        <v>0.38688624117780979</v>
      </c>
      <c r="AV50" s="36">
        <f t="shared" si="38"/>
        <v>0.43299999999999994</v>
      </c>
      <c r="AW50" s="36">
        <f t="shared" si="35"/>
        <v>0.34737239124968566</v>
      </c>
      <c r="AX50" s="36">
        <f t="shared" si="36"/>
        <v>0.36461102250575939</v>
      </c>
      <c r="AY50" s="36">
        <f t="shared" si="37"/>
        <v>0.37219790777113582</v>
      </c>
      <c r="BA50" s="36">
        <f t="shared" si="27"/>
        <v>0.36399999999999999</v>
      </c>
      <c r="BB50" s="36">
        <v>0.63600000000000001</v>
      </c>
      <c r="BD50" s="36">
        <f t="shared" si="28"/>
        <v>0.39954449200014341</v>
      </c>
      <c r="BE50" s="36">
        <v>0.60045550799985659</v>
      </c>
      <c r="BF50" s="36"/>
      <c r="BH50" s="36">
        <v>0.38800000000000001</v>
      </c>
      <c r="BI50" s="36">
        <v>0.46300000000000002</v>
      </c>
      <c r="BJ50" s="36">
        <v>0.16900000000000004</v>
      </c>
      <c r="BL50" s="41">
        <v>1359.45</v>
      </c>
      <c r="BN50" s="40">
        <v>35.080599999999997</v>
      </c>
      <c r="BQ50" s="34" t="s">
        <v>366</v>
      </c>
      <c r="BR50" s="34" t="s">
        <v>36</v>
      </c>
      <c r="BS50" s="39">
        <v>0.29073884792290283</v>
      </c>
      <c r="CA50" t="s">
        <v>365</v>
      </c>
      <c r="CB50" t="s">
        <v>364</v>
      </c>
      <c r="CC50" t="s">
        <v>363</v>
      </c>
      <c r="CD50"/>
      <c r="CE50"/>
      <c r="CI50" s="34" t="s">
        <v>362</v>
      </c>
      <c r="CJ50" s="34" t="s">
        <v>361</v>
      </c>
      <c r="CK50" s="34" t="s">
        <v>360</v>
      </c>
      <c r="CR50" s="34" t="s">
        <v>3</v>
      </c>
      <c r="CS50" s="34" t="s">
        <v>131</v>
      </c>
      <c r="CT50" s="34">
        <f t="shared" si="29"/>
        <v>0</v>
      </c>
      <c r="CU50" s="34">
        <f t="shared" si="30"/>
        <v>0</v>
      </c>
      <c r="CV50" s="34">
        <f t="shared" si="31"/>
        <v>0</v>
      </c>
      <c r="CW50" s="34">
        <f t="shared" si="32"/>
        <v>0</v>
      </c>
      <c r="CX50" s="38">
        <f t="shared" si="33"/>
        <v>0</v>
      </c>
      <c r="CY50" s="36">
        <f t="shared" si="13"/>
        <v>0.66939420000000005</v>
      </c>
      <c r="CZ50" s="37">
        <f t="shared" si="34"/>
        <v>0.99999999999978684</v>
      </c>
      <c r="DA50" s="34" t="str">
        <f t="shared" si="14"/>
        <v/>
      </c>
    </row>
    <row r="51" spans="1:105" s="34" customFormat="1" x14ac:dyDescent="0.25">
      <c r="A51" s="34" t="s">
        <v>102</v>
      </c>
      <c r="B51" s="36" t="s">
        <v>110</v>
      </c>
      <c r="C51" s="34" t="s">
        <v>204</v>
      </c>
      <c r="D51" s="36">
        <v>0.35499999999999998</v>
      </c>
      <c r="E51" s="52">
        <f t="shared" si="25"/>
        <v>0.64500000000000002</v>
      </c>
      <c r="F51" s="36">
        <v>0.37201648622047245</v>
      </c>
      <c r="G51" s="36">
        <f t="shared" si="44"/>
        <v>-1.7016486220472471E-2</v>
      </c>
      <c r="H51" s="52">
        <f t="shared" si="45"/>
        <v>1.7016486220472471E-2</v>
      </c>
      <c r="K51" s="34" t="s">
        <v>359</v>
      </c>
      <c r="L51" s="34" t="s">
        <v>129</v>
      </c>
      <c r="Q51" s="34" t="s">
        <v>358</v>
      </c>
      <c r="R51" s="50" t="s">
        <v>357</v>
      </c>
      <c r="S51" s="34" t="s">
        <v>352</v>
      </c>
      <c r="T51" s="51" t="s">
        <v>351</v>
      </c>
      <c r="V51" s="51" t="s">
        <v>350</v>
      </c>
      <c r="AH51" s="36">
        <v>0.30199999999999999</v>
      </c>
      <c r="AI51" s="36">
        <v>0.29121030515946822</v>
      </c>
      <c r="AJ51" s="36">
        <v>0.35264272033869831</v>
      </c>
      <c r="AK51" s="36">
        <v>0.3676417597536607</v>
      </c>
      <c r="AL51" s="36" t="s">
        <v>356</v>
      </c>
      <c r="AM51" s="36">
        <v>0.43161084825432167</v>
      </c>
      <c r="AN51" s="36">
        <v>0.29305525018060746</v>
      </c>
      <c r="AO51" s="36">
        <v>0.37201648622047245</v>
      </c>
      <c r="AP51" s="36">
        <f t="shared" si="26"/>
        <v>7.896123603986499E-2</v>
      </c>
      <c r="AQ51" s="36"/>
      <c r="AR51" s="36">
        <f t="shared" si="40"/>
        <v>0.69799999999999995</v>
      </c>
      <c r="AS51" s="36">
        <f t="shared" si="41"/>
        <v>0.70878969484053178</v>
      </c>
      <c r="AT51" s="36">
        <f t="shared" si="42"/>
        <v>0.64735727966130163</v>
      </c>
      <c r="AU51" s="36">
        <f t="shared" si="43"/>
        <v>0.63235824024633924</v>
      </c>
      <c r="AV51" s="36" t="s">
        <v>356</v>
      </c>
      <c r="AW51" s="36">
        <f t="shared" si="35"/>
        <v>0.56838915174567828</v>
      </c>
      <c r="AX51" s="36">
        <f t="shared" si="36"/>
        <v>0.70694474981939259</v>
      </c>
      <c r="AY51" s="36">
        <f t="shared" si="37"/>
        <v>0.62798351377952755</v>
      </c>
      <c r="BA51" s="36">
        <f t="shared" si="27"/>
        <v>0.64500000000000002</v>
      </c>
      <c r="BB51" s="36">
        <v>0.35499999999999998</v>
      </c>
      <c r="BD51" s="36">
        <f t="shared" si="28"/>
        <v>0.7159848533162807</v>
      </c>
      <c r="BE51" s="36">
        <v>0.2840151466837193</v>
      </c>
      <c r="BF51" s="36"/>
      <c r="BH51" s="36">
        <v>0.318</v>
      </c>
      <c r="BI51" s="36">
        <v>0.311</v>
      </c>
      <c r="BJ51" s="36">
        <v>0.14700000000000002</v>
      </c>
      <c r="BL51" s="41">
        <v>1105.55</v>
      </c>
      <c r="BN51" s="40">
        <v>39.724299999999999</v>
      </c>
      <c r="BQ51" s="34" t="s">
        <v>342</v>
      </c>
      <c r="BR51" s="34" t="s">
        <v>74</v>
      </c>
      <c r="BS51" s="39">
        <v>0.62763455843929628</v>
      </c>
      <c r="BU51" s="51" t="s">
        <v>207</v>
      </c>
      <c r="BV51" s="53"/>
      <c r="CA51" t="s">
        <v>355</v>
      </c>
      <c r="CB51" t="s">
        <v>354</v>
      </c>
      <c r="CC51" t="s">
        <v>353</v>
      </c>
      <c r="CD51"/>
      <c r="CE51"/>
      <c r="CI51" s="34" t="s">
        <v>352</v>
      </c>
      <c r="CJ51" s="51" t="s">
        <v>351</v>
      </c>
      <c r="CL51" s="51" t="s">
        <v>350</v>
      </c>
      <c r="CR51" s="34" t="s">
        <v>204</v>
      </c>
      <c r="CS51" s="34" t="s">
        <v>310</v>
      </c>
      <c r="CT51" s="34">
        <f t="shared" si="29"/>
        <v>0</v>
      </c>
      <c r="CU51" s="34">
        <f t="shared" si="30"/>
        <v>0</v>
      </c>
      <c r="CV51" s="34">
        <f t="shared" si="31"/>
        <v>0</v>
      </c>
      <c r="CW51" s="34">
        <f t="shared" si="32"/>
        <v>0</v>
      </c>
      <c r="CX51" s="38">
        <f t="shared" si="33"/>
        <v>0</v>
      </c>
      <c r="CY51" s="36">
        <f t="shared" si="13"/>
        <v>0.38839420000000002</v>
      </c>
      <c r="CZ51" s="37">
        <f t="shared" si="34"/>
        <v>9.0008612174674596E-7</v>
      </c>
      <c r="DA51" s="34" t="str">
        <f t="shared" si="14"/>
        <v/>
      </c>
    </row>
    <row r="52" spans="1:105" s="34" customFormat="1" x14ac:dyDescent="0.25">
      <c r="A52" s="34" t="s">
        <v>99</v>
      </c>
      <c r="B52" s="54" t="s">
        <v>130</v>
      </c>
      <c r="C52" s="34" t="s">
        <v>3</v>
      </c>
      <c r="D52" s="36">
        <v>0.66900000000000004</v>
      </c>
      <c r="E52" s="42">
        <f t="shared" si="25"/>
        <v>0.33099999999999996</v>
      </c>
      <c r="F52" s="36">
        <v>0.69450317124735728</v>
      </c>
      <c r="G52" s="36">
        <f t="shared" si="44"/>
        <v>-2.5503171247357237E-2</v>
      </c>
      <c r="H52" s="42">
        <f t="shared" si="45"/>
        <v>2.5503171247357237E-2</v>
      </c>
      <c r="J52" s="34" t="s">
        <v>129</v>
      </c>
      <c r="L52" s="34" t="s">
        <v>349</v>
      </c>
      <c r="O52" s="34" t="s">
        <v>348</v>
      </c>
      <c r="R52" s="50" t="s">
        <v>347</v>
      </c>
      <c r="AH52" s="36">
        <v>0.70700000000000007</v>
      </c>
      <c r="AI52" s="36">
        <v>0.62194004006383052</v>
      </c>
      <c r="AJ52" s="36">
        <v>0.63881297528517111</v>
      </c>
      <c r="AK52" s="36">
        <v>0.65819959613136358</v>
      </c>
      <c r="AL52" s="36">
        <v>0.64200000000000002</v>
      </c>
      <c r="AM52" s="36">
        <v>0.76772563399377558</v>
      </c>
      <c r="AN52" s="36">
        <v>0.7078789292587625</v>
      </c>
      <c r="AO52" s="36">
        <v>0.69450317124735728</v>
      </c>
      <c r="AP52" s="36">
        <f t="shared" si="26"/>
        <v>-1.3375758011405225E-2</v>
      </c>
      <c r="AQ52" s="36"/>
      <c r="AR52" s="36">
        <f t="shared" si="40"/>
        <v>0.29299999999999993</v>
      </c>
      <c r="AS52" s="36">
        <f t="shared" si="41"/>
        <v>0.37805995993616948</v>
      </c>
      <c r="AT52" s="36">
        <f t="shared" si="42"/>
        <v>0.36118702471482889</v>
      </c>
      <c r="AU52" s="36">
        <f t="shared" si="43"/>
        <v>0.34180040386863642</v>
      </c>
      <c r="AV52" s="36">
        <f t="shared" ref="AV52:AV80" si="46">1-AL52</f>
        <v>0.35799999999999998</v>
      </c>
      <c r="AW52" s="36">
        <f t="shared" si="35"/>
        <v>0.23227436600622442</v>
      </c>
      <c r="AX52" s="36">
        <f t="shared" si="36"/>
        <v>0.2921210707412375</v>
      </c>
      <c r="AY52" s="36">
        <f t="shared" si="37"/>
        <v>0.30549682875264272</v>
      </c>
      <c r="BA52" s="36">
        <f t="shared" si="27"/>
        <v>0.33099999999999996</v>
      </c>
      <c r="BB52" s="36">
        <v>0.66900000000000004</v>
      </c>
      <c r="BD52" s="36">
        <f t="shared" si="28"/>
        <v>0.36953023076893188</v>
      </c>
      <c r="BE52" s="36">
        <v>0.63046976923106812</v>
      </c>
      <c r="BF52" s="36"/>
      <c r="BH52" s="36">
        <v>0.52300000000000002</v>
      </c>
      <c r="BI52" s="36">
        <v>0.504</v>
      </c>
      <c r="BJ52" s="36">
        <v>0.41100000000000003</v>
      </c>
      <c r="BL52" s="41">
        <v>1520.02</v>
      </c>
      <c r="BN52" s="40">
        <v>34.2408</v>
      </c>
      <c r="BQ52" s="34" t="s">
        <v>342</v>
      </c>
      <c r="BR52" s="34" t="s">
        <v>58</v>
      </c>
      <c r="BS52" s="39">
        <v>0.28241305231376646</v>
      </c>
      <c r="CA52"/>
      <c r="CB52"/>
      <c r="CC52"/>
      <c r="CD52"/>
      <c r="CE52"/>
      <c r="CR52" s="34" t="s">
        <v>3</v>
      </c>
      <c r="CS52" s="34" t="s">
        <v>131</v>
      </c>
      <c r="CT52" s="34">
        <f t="shared" si="29"/>
        <v>0</v>
      </c>
      <c r="CU52" s="34">
        <f t="shared" si="30"/>
        <v>0</v>
      </c>
      <c r="CV52" s="34">
        <f t="shared" si="31"/>
        <v>0</v>
      </c>
      <c r="CW52" s="34">
        <f t="shared" si="32"/>
        <v>0</v>
      </c>
      <c r="CX52" s="38">
        <f t="shared" si="33"/>
        <v>0</v>
      </c>
      <c r="CY52" s="36">
        <f t="shared" si="13"/>
        <v>0.70239420000000008</v>
      </c>
      <c r="CZ52" s="37">
        <f t="shared" si="34"/>
        <v>1</v>
      </c>
      <c r="DA52" s="34" t="str">
        <f t="shared" si="14"/>
        <v/>
      </c>
    </row>
    <row r="53" spans="1:105" s="34" customFormat="1" x14ac:dyDescent="0.25">
      <c r="A53" s="34" t="s">
        <v>346</v>
      </c>
      <c r="B53" s="36" t="s">
        <v>101</v>
      </c>
      <c r="C53" s="34" t="s">
        <v>136</v>
      </c>
      <c r="D53" s="36">
        <v>0.48899999999999999</v>
      </c>
      <c r="E53" s="52">
        <f t="shared" si="25"/>
        <v>0.51100000000000001</v>
      </c>
      <c r="F53" s="36">
        <v>0.51877493546115938</v>
      </c>
      <c r="G53" s="36">
        <f t="shared" si="44"/>
        <v>-2.9774935461159391E-2</v>
      </c>
      <c r="H53" s="52">
        <f t="shared" si="45"/>
        <v>2.9774935461159391E-2</v>
      </c>
      <c r="L53" s="34" t="s">
        <v>345</v>
      </c>
      <c r="O53" s="34" t="s">
        <v>344</v>
      </c>
      <c r="R53" s="34" t="s">
        <v>343</v>
      </c>
      <c r="S53" s="34" t="s">
        <v>340</v>
      </c>
      <c r="AH53" s="36">
        <v>0.54200000000000004</v>
      </c>
      <c r="AI53" s="36">
        <v>0.44485857600668804</v>
      </c>
      <c r="AJ53" s="36">
        <v>0.44645848689941703</v>
      </c>
      <c r="AK53" s="36">
        <v>0.46881861379649353</v>
      </c>
      <c r="AL53" s="36">
        <v>0.47499999999999998</v>
      </c>
      <c r="AM53" s="36">
        <v>0.58259995736776393</v>
      </c>
      <c r="AN53" s="36">
        <v>0.56679628892495182</v>
      </c>
      <c r="AO53" s="36">
        <v>0.51877493546115938</v>
      </c>
      <c r="AP53" s="36">
        <f t="shared" si="26"/>
        <v>-4.8021353463792438E-2</v>
      </c>
      <c r="AQ53" s="36">
        <f>AN53-AM53</f>
        <v>-1.5803668442812113E-2</v>
      </c>
      <c r="AR53" s="36">
        <f t="shared" si="40"/>
        <v>0.45799999999999996</v>
      </c>
      <c r="AS53" s="36">
        <f t="shared" si="41"/>
        <v>0.5551414239933119</v>
      </c>
      <c r="AT53" s="36">
        <f t="shared" si="42"/>
        <v>0.55354151310058297</v>
      </c>
      <c r="AU53" s="36">
        <f t="shared" si="43"/>
        <v>0.53118138620350641</v>
      </c>
      <c r="AV53" s="36">
        <f t="shared" si="46"/>
        <v>0.52500000000000002</v>
      </c>
      <c r="AW53" s="36">
        <f t="shared" si="35"/>
        <v>0.41740004263223607</v>
      </c>
      <c r="AX53" s="36">
        <f t="shared" si="36"/>
        <v>0.43320371107504818</v>
      </c>
      <c r="AY53" s="36">
        <f t="shared" si="37"/>
        <v>0.48122506453884062</v>
      </c>
      <c r="BA53" s="36">
        <f t="shared" si="27"/>
        <v>0.51100000000000001</v>
      </c>
      <c r="BB53" s="36">
        <v>0.48899999999999999</v>
      </c>
      <c r="BD53" s="36">
        <f t="shared" si="28"/>
        <v>0.49360688045608181</v>
      </c>
      <c r="BE53" s="36">
        <v>0.50639311954391819</v>
      </c>
      <c r="BF53" s="36"/>
      <c r="BH53" s="36">
        <v>0.51900000000000002</v>
      </c>
      <c r="BI53" s="36">
        <v>0.51600000000000001</v>
      </c>
      <c r="BJ53" s="36">
        <v>9.1999999999999971E-2</v>
      </c>
      <c r="BL53" s="41">
        <v>1672.35</v>
      </c>
      <c r="BN53" s="40">
        <v>38.963799999999999</v>
      </c>
      <c r="BQ53" s="34" t="s">
        <v>342</v>
      </c>
      <c r="BR53" s="34" t="s">
        <v>54</v>
      </c>
      <c r="BS53" s="39">
        <v>8.9952389246937228E-2</v>
      </c>
      <c r="CA53" t="s">
        <v>341</v>
      </c>
      <c r="CB53"/>
      <c r="CC53"/>
      <c r="CD53"/>
      <c r="CE53"/>
      <c r="CI53" s="34" t="s">
        <v>340</v>
      </c>
      <c r="CR53" s="34" t="s">
        <v>3</v>
      </c>
      <c r="CS53" s="34" t="s">
        <v>131</v>
      </c>
      <c r="CT53" s="34">
        <f t="shared" si="29"/>
        <v>0</v>
      </c>
      <c r="CU53" s="34">
        <f t="shared" si="30"/>
        <v>0</v>
      </c>
      <c r="CV53" s="34">
        <f t="shared" si="31"/>
        <v>0</v>
      </c>
      <c r="CW53" s="34">
        <f t="shared" si="32"/>
        <v>0</v>
      </c>
      <c r="CX53" s="38">
        <f t="shared" si="33"/>
        <v>0</v>
      </c>
      <c r="CY53" s="36">
        <f t="shared" si="13"/>
        <v>0.52239420000000003</v>
      </c>
      <c r="CZ53" s="37">
        <f t="shared" si="34"/>
        <v>0.83098258533477387</v>
      </c>
      <c r="DA53" s="34" t="str">
        <f t="shared" si="14"/>
        <v>ALP GAIN</v>
      </c>
    </row>
    <row r="54" spans="1:105" s="34" customFormat="1" x14ac:dyDescent="0.25">
      <c r="A54" s="34" t="s">
        <v>92</v>
      </c>
      <c r="B54" s="36" t="s">
        <v>223</v>
      </c>
      <c r="C54" s="34" t="s">
        <v>136</v>
      </c>
      <c r="D54" s="36">
        <v>0.48499999999999999</v>
      </c>
      <c r="E54" s="52">
        <f t="shared" si="25"/>
        <v>0.51500000000000001</v>
      </c>
      <c r="F54" s="36">
        <v>0.47930781160721575</v>
      </c>
      <c r="G54" s="36">
        <f t="shared" si="44"/>
        <v>5.6921883927842365E-3</v>
      </c>
      <c r="H54" s="52">
        <f t="shared" si="45"/>
        <v>-5.6921883927842365E-3</v>
      </c>
      <c r="J54" s="34" t="s">
        <v>339</v>
      </c>
      <c r="L54" s="34" t="s">
        <v>129</v>
      </c>
      <c r="Q54" s="34" t="s">
        <v>338</v>
      </c>
      <c r="R54" s="34" t="s">
        <v>337</v>
      </c>
      <c r="S54" s="51" t="s">
        <v>335</v>
      </c>
      <c r="AH54" s="36">
        <v>0.52200000000000002</v>
      </c>
      <c r="AI54" s="36">
        <v>0.42572594192464602</v>
      </c>
      <c r="AJ54" s="36">
        <v>0.45261044176706827</v>
      </c>
      <c r="AK54" s="36">
        <v>0.47787312804980647</v>
      </c>
      <c r="AL54" s="36">
        <v>0.47499999999999998</v>
      </c>
      <c r="AM54" s="36">
        <v>0.54525592099513498</v>
      </c>
      <c r="AN54" s="36">
        <v>0.53544955581961184</v>
      </c>
      <c r="AO54" s="36">
        <v>0.47930781160721575</v>
      </c>
      <c r="AP54" s="36">
        <f t="shared" si="26"/>
        <v>-5.6141744212396094E-2</v>
      </c>
      <c r="AQ54" s="36"/>
      <c r="AR54" s="36">
        <f t="shared" si="40"/>
        <v>0.47799999999999998</v>
      </c>
      <c r="AS54" s="36">
        <f t="shared" si="41"/>
        <v>0.57427405807535403</v>
      </c>
      <c r="AT54" s="36">
        <f t="shared" si="42"/>
        <v>0.54738955823293178</v>
      </c>
      <c r="AU54" s="36">
        <f t="shared" si="43"/>
        <v>0.52212687195019347</v>
      </c>
      <c r="AV54" s="36">
        <f t="shared" si="46"/>
        <v>0.52500000000000002</v>
      </c>
      <c r="AW54" s="36">
        <f t="shared" si="35"/>
        <v>0.45474407900486502</v>
      </c>
      <c r="AX54" s="36">
        <f t="shared" si="36"/>
        <v>0.46455044418038816</v>
      </c>
      <c r="AY54" s="36">
        <f t="shared" si="37"/>
        <v>0.52069218839278419</v>
      </c>
      <c r="BA54" s="36">
        <f t="shared" si="27"/>
        <v>0.51500000000000001</v>
      </c>
      <c r="BB54" s="36">
        <v>0.48499999999999999</v>
      </c>
      <c r="BD54" s="36">
        <f t="shared" si="28"/>
        <v>0.49236158787243989</v>
      </c>
      <c r="BE54" s="36">
        <v>0.50763841212756011</v>
      </c>
      <c r="BF54" s="36"/>
      <c r="BH54" s="36">
        <v>0.56000000000000005</v>
      </c>
      <c r="BI54" s="36">
        <v>0.40100000000000002</v>
      </c>
      <c r="BJ54" s="36">
        <v>0.19599999999999995</v>
      </c>
      <c r="BL54" s="41">
        <v>1748.31</v>
      </c>
      <c r="BN54" s="40">
        <v>39.419499999999999</v>
      </c>
      <c r="BQ54" s="34" t="s">
        <v>322</v>
      </c>
      <c r="BR54" s="34" t="s">
        <v>96</v>
      </c>
      <c r="BS54" s="39">
        <v>0.52131782945736438</v>
      </c>
      <c r="CA54" t="s">
        <v>336</v>
      </c>
      <c r="CB54"/>
      <c r="CC54"/>
      <c r="CD54"/>
      <c r="CE54"/>
      <c r="CI54" s="51" t="s">
        <v>335</v>
      </c>
      <c r="CR54" s="34" t="s">
        <v>136</v>
      </c>
      <c r="CS54" s="34" t="s">
        <v>197</v>
      </c>
      <c r="CT54" s="34">
        <f t="shared" si="29"/>
        <v>0</v>
      </c>
      <c r="CU54" s="34">
        <f t="shared" si="30"/>
        <v>1</v>
      </c>
      <c r="CV54" s="34">
        <f t="shared" si="31"/>
        <v>0</v>
      </c>
      <c r="CW54" s="34">
        <f t="shared" si="32"/>
        <v>0</v>
      </c>
      <c r="CX54" s="38">
        <f t="shared" si="33"/>
        <v>8.9999999999999993E-3</v>
      </c>
      <c r="CY54" s="36">
        <f t="shared" si="13"/>
        <v>0.50939420000000002</v>
      </c>
      <c r="CZ54" s="37">
        <f t="shared" si="34"/>
        <v>0.6561201197311689</v>
      </c>
      <c r="DA54" s="34" t="str">
        <f t="shared" si="14"/>
        <v>ALP GAIN</v>
      </c>
    </row>
    <row r="55" spans="1:105" s="34" customFormat="1" x14ac:dyDescent="0.25">
      <c r="A55" s="34" t="s">
        <v>90</v>
      </c>
      <c r="B55" s="36" t="s">
        <v>101</v>
      </c>
      <c r="C55" s="34" t="s">
        <v>136</v>
      </c>
      <c r="D55" s="36">
        <v>0.33799999999999997</v>
      </c>
      <c r="E55" s="52">
        <f t="shared" si="25"/>
        <v>0.66200000000000003</v>
      </c>
      <c r="F55" s="36">
        <v>0.33972943125345112</v>
      </c>
      <c r="G55" s="36">
        <f t="shared" si="44"/>
        <v>-1.7294312534511525E-3</v>
      </c>
      <c r="H55" s="52">
        <f t="shared" si="45"/>
        <v>1.7294312534511525E-3</v>
      </c>
      <c r="J55" s="34" t="s">
        <v>334</v>
      </c>
      <c r="L55" s="34" t="s">
        <v>129</v>
      </c>
      <c r="Q55" s="34" t="s">
        <v>333</v>
      </c>
      <c r="R55" s="34" t="s">
        <v>332</v>
      </c>
      <c r="AH55" s="36">
        <v>0.48700000000000004</v>
      </c>
      <c r="AI55" s="36">
        <v>0.37115240574954522</v>
      </c>
      <c r="AJ55" s="36">
        <v>0.38707379464430269</v>
      </c>
      <c r="AK55" s="36">
        <v>0.44262002498661429</v>
      </c>
      <c r="AL55" s="36">
        <v>0.38100000000000001</v>
      </c>
      <c r="AM55" s="36">
        <v>0.48176959807734876</v>
      </c>
      <c r="AN55" s="36">
        <v>0.38149472608708718</v>
      </c>
      <c r="AO55" s="36">
        <v>0.33972943125345112</v>
      </c>
      <c r="AP55" s="36">
        <f t="shared" si="26"/>
        <v>-4.1765294833636057E-2</v>
      </c>
      <c r="AQ55" s="36"/>
      <c r="AR55" s="36">
        <f t="shared" si="40"/>
        <v>0.5129999999999999</v>
      </c>
      <c r="AS55" s="36">
        <f t="shared" si="41"/>
        <v>0.62884759425045478</v>
      </c>
      <c r="AT55" s="36">
        <f t="shared" si="42"/>
        <v>0.61292620535569731</v>
      </c>
      <c r="AU55" s="36">
        <f t="shared" si="43"/>
        <v>0.55737997501338565</v>
      </c>
      <c r="AV55" s="36">
        <f t="shared" si="46"/>
        <v>0.61899999999999999</v>
      </c>
      <c r="AW55" s="36">
        <f t="shared" si="35"/>
        <v>0.51823040192265124</v>
      </c>
      <c r="AX55" s="36">
        <f t="shared" si="36"/>
        <v>0.61850527391291288</v>
      </c>
      <c r="AY55" s="36">
        <f t="shared" si="37"/>
        <v>0.66027056874654888</v>
      </c>
      <c r="BA55" s="36">
        <f t="shared" si="27"/>
        <v>0.66200000000000003</v>
      </c>
      <c r="BB55" s="36">
        <v>0.33799999999999997</v>
      </c>
      <c r="BD55" s="36">
        <f t="shared" si="28"/>
        <v>0.64569742817789511</v>
      </c>
      <c r="BE55" s="36">
        <v>0.35430257182210484</v>
      </c>
      <c r="BF55" s="36"/>
      <c r="BH55" s="36">
        <v>0.51700000000000002</v>
      </c>
      <c r="BI55" s="36">
        <v>0.40699999999999997</v>
      </c>
      <c r="BJ55" s="36">
        <v>9.4999999999999973E-2</v>
      </c>
      <c r="BL55" s="41">
        <v>1681.9</v>
      </c>
      <c r="BN55" s="40">
        <v>43.826700000000002</v>
      </c>
      <c r="BQ55" s="34" t="s">
        <v>322</v>
      </c>
      <c r="BR55" s="34" t="s">
        <v>73</v>
      </c>
      <c r="BS55" s="39">
        <v>0.37724303761125466</v>
      </c>
      <c r="CA55"/>
      <c r="CB55"/>
      <c r="CC55"/>
      <c r="CD55"/>
      <c r="CE55"/>
      <c r="CR55" s="34" t="s">
        <v>136</v>
      </c>
      <c r="CS55" s="34" t="s">
        <v>155</v>
      </c>
      <c r="CT55" s="34">
        <f t="shared" si="29"/>
        <v>0</v>
      </c>
      <c r="CU55" s="34">
        <f t="shared" si="30"/>
        <v>0</v>
      </c>
      <c r="CV55" s="34">
        <f t="shared" si="31"/>
        <v>0</v>
      </c>
      <c r="CW55" s="34">
        <f t="shared" si="32"/>
        <v>0</v>
      </c>
      <c r="CX55" s="38">
        <f t="shared" si="33"/>
        <v>0</v>
      </c>
      <c r="CY55" s="36">
        <f t="shared" si="13"/>
        <v>0.37139420000000001</v>
      </c>
      <c r="CZ55" s="37">
        <f t="shared" si="34"/>
        <v>1.8782049471255391E-8</v>
      </c>
      <c r="DA55" s="34" t="str">
        <f t="shared" si="14"/>
        <v/>
      </c>
    </row>
    <row r="56" spans="1:105" s="34" customFormat="1" x14ac:dyDescent="0.25">
      <c r="A56" s="34" t="s">
        <v>88</v>
      </c>
      <c r="B56" s="36" t="s">
        <v>101</v>
      </c>
      <c r="C56" s="34" t="s">
        <v>204</v>
      </c>
      <c r="D56" s="36">
        <v>0.36700000000000005</v>
      </c>
      <c r="E56" s="52">
        <f t="shared" si="25"/>
        <v>0.63300000000000001</v>
      </c>
      <c r="F56" s="36">
        <v>0.3373957665169981</v>
      </c>
      <c r="G56" s="36">
        <f t="shared" si="44"/>
        <v>2.9604233483001952E-2</v>
      </c>
      <c r="H56" s="52">
        <f t="shared" si="45"/>
        <v>-2.9604233483001952E-2</v>
      </c>
      <c r="K56" s="34" t="s">
        <v>331</v>
      </c>
      <c r="L56" s="34" t="s">
        <v>129</v>
      </c>
      <c r="Q56" s="34" t="s">
        <v>330</v>
      </c>
      <c r="R56" s="34" t="s">
        <v>329</v>
      </c>
      <c r="S56" s="51" t="s">
        <v>327</v>
      </c>
      <c r="AH56" s="36">
        <v>0.52100000000000002</v>
      </c>
      <c r="AI56" s="36">
        <v>0.53839049711792619</v>
      </c>
      <c r="AJ56" s="36">
        <v>0.52685176289749258</v>
      </c>
      <c r="AK56" s="36">
        <v>0.5893415926942972</v>
      </c>
      <c r="AL56" s="36">
        <v>0.59299999999999997</v>
      </c>
      <c r="AM56" s="36">
        <v>0.54859126801241287</v>
      </c>
      <c r="AN56" s="36">
        <v>0.47805604522521428</v>
      </c>
      <c r="AO56" s="36">
        <v>0.3373957665169981</v>
      </c>
      <c r="AP56" s="36">
        <f t="shared" si="26"/>
        <v>-0.14066027870821618</v>
      </c>
      <c r="AQ56" s="36"/>
      <c r="AR56" s="36">
        <f t="shared" si="40"/>
        <v>0.47899999999999998</v>
      </c>
      <c r="AS56" s="36">
        <f t="shared" si="41"/>
        <v>0.46160950288207381</v>
      </c>
      <c r="AT56" s="36">
        <f t="shared" si="42"/>
        <v>0.47314823710250742</v>
      </c>
      <c r="AU56" s="36">
        <f t="shared" si="43"/>
        <v>0.4106584073057028</v>
      </c>
      <c r="AV56" s="36">
        <f t="shared" si="46"/>
        <v>0.40700000000000003</v>
      </c>
      <c r="AW56" s="36">
        <f t="shared" si="35"/>
        <v>0.45140873198758713</v>
      </c>
      <c r="AX56" s="36">
        <f t="shared" si="36"/>
        <v>0.52194395477478572</v>
      </c>
      <c r="AY56" s="36">
        <f t="shared" si="37"/>
        <v>0.6626042334830019</v>
      </c>
      <c r="BA56" s="36">
        <f t="shared" si="27"/>
        <v>0.63300000000000001</v>
      </c>
      <c r="BB56" s="36">
        <v>0.36700000000000005</v>
      </c>
      <c r="BD56" s="36">
        <f t="shared" si="28"/>
        <v>0.56172995635699596</v>
      </c>
      <c r="BE56" s="36">
        <v>0.43827004364300409</v>
      </c>
      <c r="BF56" s="36"/>
      <c r="BH56" s="36">
        <v>0.36099999999999999</v>
      </c>
      <c r="BI56" s="36">
        <v>0.36299999999999999</v>
      </c>
      <c r="BJ56" s="36">
        <v>0.11599999999999999</v>
      </c>
      <c r="BL56" s="41">
        <v>1331.6</v>
      </c>
      <c r="BN56" s="40">
        <v>38.626899999999999</v>
      </c>
      <c r="BQ56" s="34" t="s">
        <v>322</v>
      </c>
      <c r="BR56" s="34" t="s">
        <v>27</v>
      </c>
      <c r="BS56" s="39">
        <v>8.3261556129773179E-2</v>
      </c>
      <c r="BU56" s="51" t="s">
        <v>207</v>
      </c>
      <c r="BV56" s="53"/>
      <c r="CA56" t="s">
        <v>328</v>
      </c>
      <c r="CB56"/>
      <c r="CC56"/>
      <c r="CD56"/>
      <c r="CE56"/>
      <c r="CI56" s="51" t="s">
        <v>327</v>
      </c>
      <c r="CR56" s="34" t="s">
        <v>204</v>
      </c>
      <c r="CS56" s="34" t="s">
        <v>310</v>
      </c>
      <c r="CT56" s="34">
        <f t="shared" si="29"/>
        <v>0</v>
      </c>
      <c r="CU56" s="34">
        <f t="shared" si="30"/>
        <v>0</v>
      </c>
      <c r="CV56" s="34">
        <f t="shared" si="31"/>
        <v>0</v>
      </c>
      <c r="CW56" s="34">
        <f t="shared" si="32"/>
        <v>0</v>
      </c>
      <c r="CX56" s="38">
        <f t="shared" si="33"/>
        <v>0</v>
      </c>
      <c r="CY56" s="36">
        <f t="shared" si="13"/>
        <v>0.40039420000000009</v>
      </c>
      <c r="CZ56" s="37">
        <f t="shared" si="34"/>
        <v>1.0163137956653578E-5</v>
      </c>
      <c r="DA56" s="34" t="str">
        <f t="shared" si="14"/>
        <v/>
      </c>
    </row>
    <row r="57" spans="1:105" s="34" customFormat="1" x14ac:dyDescent="0.25">
      <c r="A57" s="34" t="s">
        <v>87</v>
      </c>
      <c r="B57" s="36" t="s">
        <v>94</v>
      </c>
      <c r="C57" s="34" t="s">
        <v>136</v>
      </c>
      <c r="D57" s="36">
        <v>0.41399999999999998</v>
      </c>
      <c r="E57" s="52">
        <f t="shared" si="25"/>
        <v>0.58600000000000008</v>
      </c>
      <c r="F57" s="36">
        <v>0.42551151852850422</v>
      </c>
      <c r="G57" s="36">
        <f t="shared" si="44"/>
        <v>-1.1511518528504239E-2</v>
      </c>
      <c r="H57" s="52">
        <f t="shared" si="45"/>
        <v>1.1511518528504239E-2</v>
      </c>
      <c r="J57" s="34" t="s">
        <v>326</v>
      </c>
      <c r="L57" s="34" t="s">
        <v>129</v>
      </c>
      <c r="Q57" s="34" t="s">
        <v>325</v>
      </c>
      <c r="R57" s="34" t="s">
        <v>324</v>
      </c>
      <c r="AG57" s="34" t="s">
        <v>323</v>
      </c>
      <c r="AH57" s="36">
        <v>0.42799999999999999</v>
      </c>
      <c r="AI57" s="36">
        <v>0.30396177178296674</v>
      </c>
      <c r="AJ57" s="36">
        <v>0.34301129657730567</v>
      </c>
      <c r="AK57" s="36">
        <v>0.36839577329490875</v>
      </c>
      <c r="AL57" s="36">
        <v>0.40899999999999997</v>
      </c>
      <c r="AM57" s="36">
        <v>0.52291610828196189</v>
      </c>
      <c r="AN57" s="36">
        <v>0.50309247246945243</v>
      </c>
      <c r="AO57" s="36">
        <v>0.42551151852850422</v>
      </c>
      <c r="AP57" s="36">
        <f t="shared" si="26"/>
        <v>-7.7580953940948216E-2</v>
      </c>
      <c r="AQ57" s="36"/>
      <c r="AR57" s="36">
        <f t="shared" si="40"/>
        <v>0.57200000000000006</v>
      </c>
      <c r="AS57" s="36">
        <f t="shared" si="41"/>
        <v>0.69603822821703321</v>
      </c>
      <c r="AT57" s="36">
        <f t="shared" si="42"/>
        <v>0.65698870342269433</v>
      </c>
      <c r="AU57" s="36">
        <f t="shared" si="43"/>
        <v>0.6316042267050912</v>
      </c>
      <c r="AV57" s="36">
        <f t="shared" si="46"/>
        <v>0.59099999999999997</v>
      </c>
      <c r="AW57" s="36">
        <f t="shared" si="35"/>
        <v>0.47708389171803811</v>
      </c>
      <c r="AX57" s="36">
        <f t="shared" si="36"/>
        <v>0.49690752753054757</v>
      </c>
      <c r="AY57" s="36">
        <f t="shared" si="37"/>
        <v>0.57448848147149578</v>
      </c>
      <c r="BA57" s="36">
        <f t="shared" si="27"/>
        <v>0.58600000000000008</v>
      </c>
      <c r="BB57" s="36">
        <v>0.41399999999999998</v>
      </c>
      <c r="BD57" s="36">
        <f t="shared" si="28"/>
        <v>0.54034280029876847</v>
      </c>
      <c r="BE57" s="36">
        <v>0.45965719970123153</v>
      </c>
      <c r="BF57" s="36"/>
      <c r="BH57" s="36">
        <v>0.67300000000000004</v>
      </c>
      <c r="BI57" s="36">
        <v>0.28000000000000003</v>
      </c>
      <c r="BJ57" s="36">
        <v>0.45399999999999996</v>
      </c>
      <c r="BL57" s="41">
        <v>1622.75</v>
      </c>
      <c r="BN57" s="40">
        <v>41.691600000000001</v>
      </c>
      <c r="BQ57" s="34" t="s">
        <v>322</v>
      </c>
      <c r="BR57" s="34" t="s">
        <v>34</v>
      </c>
      <c r="BS57" s="39">
        <v>1.8177576801607809E-2</v>
      </c>
      <c r="CA57"/>
      <c r="CB57"/>
      <c r="CC57"/>
      <c r="CD57"/>
      <c r="CE57"/>
      <c r="CR57" s="34" t="s">
        <v>136</v>
      </c>
      <c r="CS57" s="34" t="s">
        <v>155</v>
      </c>
      <c r="CT57" s="34">
        <f t="shared" si="29"/>
        <v>0</v>
      </c>
      <c r="CU57" s="34">
        <f t="shared" si="30"/>
        <v>0</v>
      </c>
      <c r="CV57" s="34">
        <f t="shared" si="31"/>
        <v>0</v>
      </c>
      <c r="CW57" s="34">
        <f t="shared" si="32"/>
        <v>0</v>
      </c>
      <c r="CX57" s="38">
        <f t="shared" si="33"/>
        <v>0</v>
      </c>
      <c r="CY57" s="36">
        <f t="shared" si="13"/>
        <v>0.44739420000000002</v>
      </c>
      <c r="CZ57" s="37">
        <f t="shared" si="34"/>
        <v>1.2207021900566772E-2</v>
      </c>
      <c r="DA57" s="34" t="str">
        <f t="shared" si="14"/>
        <v/>
      </c>
    </row>
    <row r="58" spans="1:105" s="34" customFormat="1" x14ac:dyDescent="0.25">
      <c r="A58" s="34" t="s">
        <v>86</v>
      </c>
      <c r="B58" s="36" t="s">
        <v>223</v>
      </c>
      <c r="C58" s="34" t="s">
        <v>3</v>
      </c>
      <c r="D58" s="36">
        <v>0.52400000000000002</v>
      </c>
      <c r="E58" s="42">
        <f t="shared" si="25"/>
        <v>0.47599999999999998</v>
      </c>
      <c r="F58" s="36">
        <v>0.58479705282547201</v>
      </c>
      <c r="G58" s="36">
        <f t="shared" si="44"/>
        <v>-6.0797052825471987E-2</v>
      </c>
      <c r="H58" s="42">
        <f t="shared" si="45"/>
        <v>6.0797052825471987E-2</v>
      </c>
      <c r="J58" s="34" t="s">
        <v>129</v>
      </c>
      <c r="L58" s="34" t="s">
        <v>321</v>
      </c>
      <c r="O58" s="34" t="s">
        <v>320</v>
      </c>
      <c r="R58" s="34" t="s">
        <v>319</v>
      </c>
      <c r="AG58" s="34" t="s">
        <v>318</v>
      </c>
      <c r="AH58" s="36">
        <v>0.57999999999999996</v>
      </c>
      <c r="AI58" s="36">
        <v>0.50061412487205736</v>
      </c>
      <c r="AJ58" s="36">
        <v>0.52200802684387126</v>
      </c>
      <c r="AK58" s="36">
        <v>0.57987504110489974</v>
      </c>
      <c r="AL58" s="36">
        <v>0.54100000000000004</v>
      </c>
      <c r="AM58" s="36">
        <v>0.66211872745162348</v>
      </c>
      <c r="AN58" s="36">
        <v>0.6561648902188898</v>
      </c>
      <c r="AO58" s="36">
        <v>0.58479705282547201</v>
      </c>
      <c r="AP58" s="36">
        <f t="shared" si="26"/>
        <v>-7.1367837393417788E-2</v>
      </c>
      <c r="AQ58" s="36"/>
      <c r="AR58" s="36">
        <f t="shared" si="40"/>
        <v>0.42000000000000004</v>
      </c>
      <c r="AS58" s="36">
        <f t="shared" si="41"/>
        <v>0.49938587512794264</v>
      </c>
      <c r="AT58" s="36">
        <f t="shared" si="42"/>
        <v>0.47799197315612874</v>
      </c>
      <c r="AU58" s="36">
        <f t="shared" si="43"/>
        <v>0.42012495889510026</v>
      </c>
      <c r="AV58" s="36">
        <f t="shared" si="46"/>
        <v>0.45899999999999996</v>
      </c>
      <c r="AW58" s="36">
        <f t="shared" si="35"/>
        <v>0.33788127254837652</v>
      </c>
      <c r="AX58" s="36">
        <f t="shared" si="36"/>
        <v>0.3438351097811102</v>
      </c>
      <c r="AY58" s="36">
        <f t="shared" si="37"/>
        <v>0.41520294717452799</v>
      </c>
      <c r="BA58" s="36">
        <f t="shared" si="27"/>
        <v>0.47599999999999998</v>
      </c>
      <c r="BB58" s="36">
        <v>0.52400000000000002</v>
      </c>
      <c r="BD58" s="36">
        <f t="shared" si="28"/>
        <v>0.479605201946812</v>
      </c>
      <c r="BE58" s="36">
        <v>0.520394798053188</v>
      </c>
      <c r="BF58" s="36"/>
      <c r="BH58" s="36">
        <v>0.57899999999999996</v>
      </c>
      <c r="BI58" s="36">
        <v>0.31900000000000001</v>
      </c>
      <c r="BJ58" s="36">
        <v>0.52900000000000003</v>
      </c>
      <c r="BL58" s="41">
        <v>1463.39</v>
      </c>
      <c r="BN58" s="40">
        <v>40.088999999999999</v>
      </c>
      <c r="BQ58" s="34" t="s">
        <v>314</v>
      </c>
      <c r="BR58" s="34" t="s">
        <v>34</v>
      </c>
      <c r="BS58" s="39">
        <v>0.89305652775169442</v>
      </c>
      <c r="CA58"/>
      <c r="CB58"/>
      <c r="CC58"/>
      <c r="CD58"/>
      <c r="CE58"/>
      <c r="CR58" s="34" t="s">
        <v>3</v>
      </c>
      <c r="CS58" s="34" t="s">
        <v>131</v>
      </c>
      <c r="CT58" s="34">
        <f t="shared" si="29"/>
        <v>0</v>
      </c>
      <c r="CU58" s="34">
        <f t="shared" si="30"/>
        <v>0</v>
      </c>
      <c r="CV58" s="34">
        <f t="shared" si="31"/>
        <v>0</v>
      </c>
      <c r="CW58" s="34">
        <f t="shared" si="32"/>
        <v>0</v>
      </c>
      <c r="CX58" s="38">
        <f t="shared" si="33"/>
        <v>0</v>
      </c>
      <c r="CY58" s="36">
        <f t="shared" si="13"/>
        <v>0.55739420000000006</v>
      </c>
      <c r="CZ58" s="37">
        <f t="shared" si="34"/>
        <v>0.99296369579671118</v>
      </c>
      <c r="DA58" s="34" t="str">
        <f t="shared" si="14"/>
        <v/>
      </c>
    </row>
    <row r="59" spans="1:105" s="34" customFormat="1" x14ac:dyDescent="0.25">
      <c r="A59" s="34" t="s">
        <v>85</v>
      </c>
      <c r="B59" s="36" t="s">
        <v>110</v>
      </c>
      <c r="C59" s="34" t="s">
        <v>204</v>
      </c>
      <c r="D59" s="36">
        <v>0.19800000000000001</v>
      </c>
      <c r="E59" s="52">
        <f t="shared" si="25"/>
        <v>0.80200000000000005</v>
      </c>
      <c r="F59" s="36">
        <v>0.20666802610114193</v>
      </c>
      <c r="G59" s="36">
        <f t="shared" si="44"/>
        <v>-8.6680261011419235E-3</v>
      </c>
      <c r="H59" s="52">
        <f t="shared" si="45"/>
        <v>8.6680261011419235E-3</v>
      </c>
      <c r="K59" s="34" t="s">
        <v>317</v>
      </c>
      <c r="L59" s="34" t="s">
        <v>129</v>
      </c>
      <c r="Q59" s="34" t="s">
        <v>128</v>
      </c>
      <c r="R59" s="50" t="s">
        <v>316</v>
      </c>
      <c r="V59" s="34" t="s">
        <v>311</v>
      </c>
      <c r="AG59" s="34" t="s">
        <v>315</v>
      </c>
      <c r="AH59" s="36">
        <v>0.22399999999999998</v>
      </c>
      <c r="AI59" s="36">
        <v>0.20547760388559094</v>
      </c>
      <c r="AJ59" s="36">
        <v>0.3092089277656288</v>
      </c>
      <c r="AK59" s="36">
        <v>0.38790867579908678</v>
      </c>
      <c r="AL59" s="36">
        <v>0.38100000000000001</v>
      </c>
      <c r="AM59" s="36">
        <v>0.35847511027095147</v>
      </c>
      <c r="AN59" s="36">
        <v>0.26602829594778171</v>
      </c>
      <c r="AO59" s="36">
        <v>0.20666802610114193</v>
      </c>
      <c r="AP59" s="36">
        <f t="shared" si="26"/>
        <v>-5.9360269846639779E-2</v>
      </c>
      <c r="AQ59" s="36"/>
      <c r="AR59" s="36">
        <f t="shared" si="40"/>
        <v>0.77600000000000002</v>
      </c>
      <c r="AS59" s="36">
        <f t="shared" si="41"/>
        <v>0.794522396114409</v>
      </c>
      <c r="AT59" s="36">
        <f t="shared" si="42"/>
        <v>0.6907910722343712</v>
      </c>
      <c r="AU59" s="36">
        <f t="shared" si="43"/>
        <v>0.61209132420091317</v>
      </c>
      <c r="AV59" s="36">
        <f t="shared" si="46"/>
        <v>0.61899999999999999</v>
      </c>
      <c r="AW59" s="36">
        <f t="shared" si="35"/>
        <v>0.64152488972904853</v>
      </c>
      <c r="AX59" s="36">
        <f t="shared" si="36"/>
        <v>0.73397170405221823</v>
      </c>
      <c r="AY59" s="36">
        <f t="shared" si="37"/>
        <v>0.79333197389885801</v>
      </c>
      <c r="BA59" s="36">
        <f t="shared" si="27"/>
        <v>0.80200000000000005</v>
      </c>
      <c r="BB59" s="36">
        <v>0.19800000000000001</v>
      </c>
      <c r="BD59" s="36">
        <f t="shared" si="28"/>
        <v>0.79160150305052857</v>
      </c>
      <c r="BE59" s="36">
        <v>0.20839849694947138</v>
      </c>
      <c r="BF59" s="36"/>
      <c r="BH59" s="36">
        <v>0.29199999999999998</v>
      </c>
      <c r="BI59" s="36">
        <v>0.307</v>
      </c>
      <c r="BJ59" s="36">
        <v>7.8999999999999959E-2</v>
      </c>
      <c r="BL59" s="41">
        <v>1101.77</v>
      </c>
      <c r="BN59" s="40">
        <v>42.719700000000003</v>
      </c>
      <c r="BQ59" s="34" t="s">
        <v>314</v>
      </c>
      <c r="BR59" s="34" t="s">
        <v>25</v>
      </c>
      <c r="BS59" s="39">
        <v>0.10694347224830553</v>
      </c>
      <c r="BU59" s="50" t="s">
        <v>207</v>
      </c>
      <c r="BV59" s="53" t="s">
        <v>313</v>
      </c>
      <c r="CA59" t="s">
        <v>312</v>
      </c>
      <c r="CB59"/>
      <c r="CC59"/>
      <c r="CD59"/>
      <c r="CE59"/>
      <c r="CL59" s="34" t="s">
        <v>311</v>
      </c>
      <c r="CR59" s="34" t="s">
        <v>204</v>
      </c>
      <c r="CS59" s="34" t="s">
        <v>310</v>
      </c>
      <c r="CT59" s="34">
        <f t="shared" si="29"/>
        <v>0</v>
      </c>
      <c r="CU59" s="34">
        <f t="shared" si="30"/>
        <v>0</v>
      </c>
      <c r="CV59" s="34">
        <f t="shared" si="31"/>
        <v>0</v>
      </c>
      <c r="CW59" s="34">
        <f t="shared" si="32"/>
        <v>0</v>
      </c>
      <c r="CX59" s="38">
        <f t="shared" si="33"/>
        <v>0</v>
      </c>
      <c r="CY59" s="36">
        <f t="shared" si="13"/>
        <v>0.23139420000000005</v>
      </c>
      <c r="CZ59" s="37">
        <f t="shared" si="34"/>
        <v>0</v>
      </c>
      <c r="DA59" s="34" t="str">
        <f t="shared" si="14"/>
        <v/>
      </c>
    </row>
    <row r="60" spans="1:105" s="34" customFormat="1" x14ac:dyDescent="0.25">
      <c r="A60" s="34" t="s">
        <v>84</v>
      </c>
      <c r="B60" s="36" t="s">
        <v>101</v>
      </c>
      <c r="C60" s="34" t="s">
        <v>136</v>
      </c>
      <c r="D60" s="36">
        <v>0.34</v>
      </c>
      <c r="E60" s="52">
        <f t="shared" si="25"/>
        <v>0.65999999999999992</v>
      </c>
      <c r="F60" s="36">
        <v>0.37589433131535499</v>
      </c>
      <c r="G60" s="36">
        <f t="shared" si="44"/>
        <v>-3.5894331315354966E-2</v>
      </c>
      <c r="H60" s="52">
        <f t="shared" si="45"/>
        <v>3.5894331315354966E-2</v>
      </c>
      <c r="J60" s="34" t="s">
        <v>309</v>
      </c>
      <c r="L60" s="34" t="s">
        <v>129</v>
      </c>
      <c r="Q60" s="34" t="s">
        <v>308</v>
      </c>
      <c r="R60" s="34" t="s">
        <v>307</v>
      </c>
      <c r="V60" s="34" t="s">
        <v>305</v>
      </c>
      <c r="AH60" s="36">
        <v>0.48299999999999998</v>
      </c>
      <c r="AI60" s="36">
        <v>0.44591415811543311</v>
      </c>
      <c r="AJ60" s="36">
        <v>0.4823212520031368</v>
      </c>
      <c r="AK60" s="36">
        <v>0.52513596430065546</v>
      </c>
      <c r="AL60" s="36">
        <v>0.49399999999999999</v>
      </c>
      <c r="AM60" s="36">
        <v>0.56857935465031395</v>
      </c>
      <c r="AN60" s="36">
        <v>0.47347381645822628</v>
      </c>
      <c r="AO60" s="36">
        <v>0.37589433131535499</v>
      </c>
      <c r="AP60" s="36">
        <f t="shared" si="26"/>
        <v>-9.7579485142871292E-2</v>
      </c>
      <c r="AQ60" s="36"/>
      <c r="AR60" s="36">
        <f t="shared" si="40"/>
        <v>0.51700000000000002</v>
      </c>
      <c r="AS60" s="36">
        <f t="shared" si="41"/>
        <v>0.55408584188456689</v>
      </c>
      <c r="AT60" s="36">
        <f t="shared" si="42"/>
        <v>0.5176787479968632</v>
      </c>
      <c r="AU60" s="36">
        <f t="shared" si="43"/>
        <v>0.47486403569934454</v>
      </c>
      <c r="AV60" s="36">
        <f t="shared" si="46"/>
        <v>0.50600000000000001</v>
      </c>
      <c r="AW60" s="36">
        <f t="shared" si="35"/>
        <v>0.43142064534968605</v>
      </c>
      <c r="AX60" s="36">
        <f t="shared" si="36"/>
        <v>0.52652618354177372</v>
      </c>
      <c r="AY60" s="36">
        <f t="shared" si="37"/>
        <v>0.62410566868464501</v>
      </c>
      <c r="BA60" s="36">
        <f t="shared" si="27"/>
        <v>0.65999999999999992</v>
      </c>
      <c r="BB60" s="36">
        <v>0.34</v>
      </c>
      <c r="BD60" s="36">
        <f t="shared" si="28"/>
        <v>0.64600144560188433</v>
      </c>
      <c r="BE60" s="36">
        <v>0.35399855439811573</v>
      </c>
      <c r="BF60" s="36"/>
      <c r="BH60" s="36">
        <v>0.35499999999999998</v>
      </c>
      <c r="BI60" s="36">
        <v>0.36399999999999999</v>
      </c>
      <c r="BJ60" s="36">
        <v>7.2999999999999954E-2</v>
      </c>
      <c r="BL60" s="41">
        <v>1260.83</v>
      </c>
      <c r="BN60" s="40">
        <v>40.612699999999997</v>
      </c>
      <c r="BQ60" s="34" t="s">
        <v>296</v>
      </c>
      <c r="BR60" s="34" t="s">
        <v>45</v>
      </c>
      <c r="BS60" s="39">
        <v>0.57101595080078538</v>
      </c>
      <c r="CA60" t="s">
        <v>306</v>
      </c>
      <c r="CB60"/>
      <c r="CC60"/>
      <c r="CD60"/>
      <c r="CE60"/>
      <c r="CL60" s="34" t="s">
        <v>305</v>
      </c>
      <c r="CR60" s="34" t="s">
        <v>136</v>
      </c>
      <c r="CS60" s="34" t="s">
        <v>155</v>
      </c>
      <c r="CT60" s="34">
        <f t="shared" si="29"/>
        <v>0</v>
      </c>
      <c r="CU60" s="34">
        <f t="shared" si="30"/>
        <v>0</v>
      </c>
      <c r="CV60" s="34">
        <f t="shared" si="31"/>
        <v>0</v>
      </c>
      <c r="CW60" s="34">
        <f t="shared" si="32"/>
        <v>0</v>
      </c>
      <c r="CX60" s="38">
        <f t="shared" si="33"/>
        <v>0</v>
      </c>
      <c r="CY60" s="36">
        <f t="shared" si="13"/>
        <v>0.37339420000000006</v>
      </c>
      <c r="CZ60" s="37">
        <f t="shared" si="34"/>
        <v>3.0409859741453715E-8</v>
      </c>
      <c r="DA60" s="34" t="str">
        <f t="shared" si="14"/>
        <v/>
      </c>
    </row>
    <row r="61" spans="1:105" s="34" customFormat="1" x14ac:dyDescent="0.25">
      <c r="A61" s="34" t="s">
        <v>82</v>
      </c>
      <c r="B61" s="36" t="s">
        <v>223</v>
      </c>
      <c r="C61" s="34" t="s">
        <v>3</v>
      </c>
      <c r="D61" s="36">
        <v>0.54799999999999993</v>
      </c>
      <c r="E61" s="42">
        <f t="shared" si="25"/>
        <v>0.45200000000000007</v>
      </c>
      <c r="F61" s="36">
        <v>0.52969443423693363</v>
      </c>
      <c r="G61" s="36">
        <f t="shared" si="44"/>
        <v>1.83055657630663E-2</v>
      </c>
      <c r="H61" s="42">
        <f t="shared" si="45"/>
        <v>-1.83055657630663E-2</v>
      </c>
      <c r="J61" s="34" t="s">
        <v>129</v>
      </c>
      <c r="L61" s="34" t="s">
        <v>304</v>
      </c>
      <c r="O61" s="34" t="s">
        <v>303</v>
      </c>
      <c r="R61" s="50" t="s">
        <v>302</v>
      </c>
      <c r="AG61" s="34" t="s">
        <v>301</v>
      </c>
      <c r="AH61" s="36">
        <v>0.54600000000000004</v>
      </c>
      <c r="AI61" s="36">
        <v>0.42669269495530671</v>
      </c>
      <c r="AJ61" s="36">
        <v>0.446930483664496</v>
      </c>
      <c r="AK61" s="36">
        <v>0.4505340699815838</v>
      </c>
      <c r="AL61" s="36">
        <v>0.44900000000000001</v>
      </c>
      <c r="AM61" s="36">
        <v>0.59688216990916809</v>
      </c>
      <c r="AN61" s="36">
        <v>0.59233889139251916</v>
      </c>
      <c r="AO61" s="36">
        <v>0.52969443423693363</v>
      </c>
      <c r="AP61" s="36">
        <f t="shared" si="26"/>
        <v>-6.2644457155585531E-2</v>
      </c>
      <c r="AQ61" s="36"/>
      <c r="AR61" s="36">
        <f t="shared" si="40"/>
        <v>0.45399999999999996</v>
      </c>
      <c r="AS61" s="36">
        <f t="shared" si="41"/>
        <v>0.57330730504469329</v>
      </c>
      <c r="AT61" s="36">
        <f t="shared" si="42"/>
        <v>0.55306951633550394</v>
      </c>
      <c r="AU61" s="36">
        <f t="shared" si="43"/>
        <v>0.54946593001841615</v>
      </c>
      <c r="AV61" s="36">
        <f t="shared" si="46"/>
        <v>0.55099999999999993</v>
      </c>
      <c r="AW61" s="36">
        <f t="shared" si="35"/>
        <v>0.40311783009083191</v>
      </c>
      <c r="AX61" s="36">
        <f t="shared" si="36"/>
        <v>0.40766110860748084</v>
      </c>
      <c r="AY61" s="36">
        <f t="shared" si="37"/>
        <v>0.47030556576306637</v>
      </c>
      <c r="BA61" s="36">
        <f t="shared" si="27"/>
        <v>0.45200000000000007</v>
      </c>
      <c r="BB61" s="36">
        <v>0.54799999999999993</v>
      </c>
      <c r="BD61" s="36">
        <f t="shared" si="28"/>
        <v>0.44948518280216221</v>
      </c>
      <c r="BE61" s="36">
        <v>0.55051481719783779</v>
      </c>
      <c r="BF61" s="36"/>
      <c r="BH61" s="36">
        <v>0.51400000000000001</v>
      </c>
      <c r="BI61" s="36">
        <v>0.49399999999999999</v>
      </c>
      <c r="BJ61" s="36">
        <v>0.39500000000000002</v>
      </c>
      <c r="BL61" s="41">
        <v>1442.22</v>
      </c>
      <c r="BN61" s="40">
        <v>35.157299999999999</v>
      </c>
      <c r="BQ61" s="34" t="s">
        <v>296</v>
      </c>
      <c r="BR61" s="34" t="s">
        <v>65</v>
      </c>
      <c r="BS61" s="39">
        <v>0.36750125756567736</v>
      </c>
      <c r="CA61"/>
      <c r="CB61"/>
      <c r="CC61"/>
      <c r="CD61"/>
      <c r="CE61"/>
      <c r="CR61" s="34" t="s">
        <v>3</v>
      </c>
      <c r="CS61" s="34" t="s">
        <v>131</v>
      </c>
      <c r="CT61" s="34">
        <f t="shared" si="29"/>
        <v>0</v>
      </c>
      <c r="CU61" s="34">
        <f t="shared" si="30"/>
        <v>0</v>
      </c>
      <c r="CV61" s="34">
        <f t="shared" si="31"/>
        <v>0</v>
      </c>
      <c r="CW61" s="34">
        <f t="shared" si="32"/>
        <v>0</v>
      </c>
      <c r="CX61" s="38">
        <f t="shared" si="33"/>
        <v>0</v>
      </c>
      <c r="CY61" s="36">
        <f t="shared" si="13"/>
        <v>0.58139419999999997</v>
      </c>
      <c r="CZ61" s="37">
        <f t="shared" si="34"/>
        <v>0.99975130532240619</v>
      </c>
      <c r="DA61" s="34" t="str">
        <f t="shared" si="14"/>
        <v/>
      </c>
    </row>
    <row r="62" spans="1:105" s="34" customFormat="1" x14ac:dyDescent="0.25">
      <c r="A62" s="34" t="s">
        <v>81</v>
      </c>
      <c r="B62" s="36" t="s">
        <v>223</v>
      </c>
      <c r="C62" s="34" t="s">
        <v>3</v>
      </c>
      <c r="D62" s="36">
        <v>0.57399999999999995</v>
      </c>
      <c r="E62" s="42">
        <f t="shared" si="25"/>
        <v>0.42600000000000005</v>
      </c>
      <c r="F62" s="36">
        <v>0.56735261522414659</v>
      </c>
      <c r="G62" s="36">
        <f t="shared" si="44"/>
        <v>6.64738477585336E-3</v>
      </c>
      <c r="H62" s="42">
        <f t="shared" si="45"/>
        <v>-6.64738477585336E-3</v>
      </c>
      <c r="J62" s="34" t="s">
        <v>129</v>
      </c>
      <c r="L62" s="34" t="s">
        <v>300</v>
      </c>
      <c r="O62" s="34" t="s">
        <v>299</v>
      </c>
      <c r="R62" s="34" t="s">
        <v>298</v>
      </c>
      <c r="AG62" s="34" t="s">
        <v>297</v>
      </c>
      <c r="AH62" s="36"/>
      <c r="AI62" s="36"/>
      <c r="AJ62" s="36"/>
      <c r="AK62" s="36"/>
      <c r="AL62" s="36">
        <v>0.48700000000000004</v>
      </c>
      <c r="AM62" s="36">
        <v>0.62554652425247215</v>
      </c>
      <c r="AN62" s="36">
        <v>0.61050010877184502</v>
      </c>
      <c r="AO62" s="36">
        <v>0.56735261522414659</v>
      </c>
      <c r="AP62" s="36">
        <f t="shared" si="26"/>
        <v>-4.3147493547698423E-2</v>
      </c>
      <c r="AQ62" s="36"/>
      <c r="AR62" s="36"/>
      <c r="AS62" s="36"/>
      <c r="AT62" s="36"/>
      <c r="AU62" s="36"/>
      <c r="AV62" s="36">
        <f t="shared" si="46"/>
        <v>0.5129999999999999</v>
      </c>
      <c r="AW62" s="36">
        <f t="shared" si="35"/>
        <v>0.37445347574752785</v>
      </c>
      <c r="AX62" s="36">
        <f t="shared" si="36"/>
        <v>0.38949989122815498</v>
      </c>
      <c r="AY62" s="36">
        <f t="shared" si="37"/>
        <v>0.43264738477585341</v>
      </c>
      <c r="BA62" s="36">
        <f t="shared" si="27"/>
        <v>0.42600000000000005</v>
      </c>
      <c r="BB62" s="36">
        <v>0.57399999999999995</v>
      </c>
      <c r="BD62" s="36">
        <f t="shared" si="28"/>
        <v>0.41029802077911137</v>
      </c>
      <c r="BE62" s="36">
        <v>0.58970197922088863</v>
      </c>
      <c r="BF62" s="36"/>
      <c r="BH62" s="36">
        <v>0.53900000000000003</v>
      </c>
      <c r="BI62" s="36">
        <v>0.60599999999999998</v>
      </c>
      <c r="BJ62" s="36">
        <v>0.35699999999999998</v>
      </c>
      <c r="BL62" s="41">
        <v>1558.06</v>
      </c>
      <c r="BN62" s="40">
        <v>31.888400000000001</v>
      </c>
      <c r="BQ62" s="34" t="s">
        <v>296</v>
      </c>
      <c r="BR62" s="34" t="s">
        <v>43</v>
      </c>
      <c r="BS62" s="39">
        <v>6.1482791633537245E-2</v>
      </c>
      <c r="CA62"/>
      <c r="CB62"/>
      <c r="CC62"/>
      <c r="CD62"/>
      <c r="CE62"/>
      <c r="CR62" s="34" t="s">
        <v>3</v>
      </c>
      <c r="CS62" s="34" t="s">
        <v>131</v>
      </c>
      <c r="CT62" s="34">
        <f t="shared" si="29"/>
        <v>0</v>
      </c>
      <c r="CU62" s="34">
        <f t="shared" si="30"/>
        <v>0</v>
      </c>
      <c r="CV62" s="34">
        <f t="shared" si="31"/>
        <v>0</v>
      </c>
      <c r="CW62" s="34">
        <f t="shared" si="32"/>
        <v>0</v>
      </c>
      <c r="CX62" s="38">
        <f t="shared" si="33"/>
        <v>0</v>
      </c>
      <c r="CY62" s="36">
        <f t="shared" si="13"/>
        <v>0.6073942</v>
      </c>
      <c r="CZ62" s="37">
        <f t="shared" si="34"/>
        <v>0.99999783079931714</v>
      </c>
      <c r="DA62" s="34" t="str">
        <f t="shared" si="14"/>
        <v/>
      </c>
    </row>
    <row r="63" spans="1:105" s="34" customFormat="1" x14ac:dyDescent="0.25">
      <c r="A63" s="34" t="s">
        <v>80</v>
      </c>
      <c r="B63" s="36" t="s">
        <v>101</v>
      </c>
      <c r="C63" s="34" t="s">
        <v>136</v>
      </c>
      <c r="D63" s="36">
        <v>0.36299999999999999</v>
      </c>
      <c r="E63" s="52">
        <f t="shared" si="25"/>
        <v>0.63700000000000001</v>
      </c>
      <c r="F63" s="36">
        <v>0.35691615211495181</v>
      </c>
      <c r="G63" s="36">
        <f t="shared" si="44"/>
        <v>6.083847885048177E-3</v>
      </c>
      <c r="H63" s="52">
        <f t="shared" si="45"/>
        <v>-6.083847885048177E-3</v>
      </c>
      <c r="J63" s="34" t="s">
        <v>295</v>
      </c>
      <c r="L63" s="34" t="s">
        <v>129</v>
      </c>
      <c r="Q63" s="34" t="s">
        <v>294</v>
      </c>
      <c r="R63" s="34" t="s">
        <v>293</v>
      </c>
      <c r="AG63" s="34" t="s">
        <v>292</v>
      </c>
      <c r="AH63" s="36">
        <v>0.48799999999999999</v>
      </c>
      <c r="AI63" s="36">
        <v>0.37979360852197069</v>
      </c>
      <c r="AJ63" s="36">
        <v>0.41864088784303749</v>
      </c>
      <c r="AK63" s="36">
        <v>0.43800748106924553</v>
      </c>
      <c r="AL63" s="36">
        <v>0.43799999999999994</v>
      </c>
      <c r="AM63" s="36">
        <v>0.49826810889645112</v>
      </c>
      <c r="AN63" s="36">
        <v>0.40623357348257627</v>
      </c>
      <c r="AO63" s="36">
        <v>0.35691615211495181</v>
      </c>
      <c r="AP63" s="36">
        <f t="shared" si="26"/>
        <v>-4.9317421367624459E-2</v>
      </c>
      <c r="AQ63" s="36"/>
      <c r="AR63" s="36">
        <f t="shared" ref="AR63:AR80" si="47">1-AH63</f>
        <v>0.51200000000000001</v>
      </c>
      <c r="AS63" s="36">
        <f t="shared" ref="AS63:AS80" si="48">1-AI63</f>
        <v>0.62020639147802936</v>
      </c>
      <c r="AT63" s="36">
        <f t="shared" ref="AT63:AT80" si="49">1-AJ63</f>
        <v>0.58135911215696257</v>
      </c>
      <c r="AU63" s="36">
        <f t="shared" ref="AU63:AU80" si="50">1-AK63</f>
        <v>0.56199251893075441</v>
      </c>
      <c r="AV63" s="36">
        <f t="shared" si="46"/>
        <v>0.56200000000000006</v>
      </c>
      <c r="AW63" s="36">
        <f t="shared" si="35"/>
        <v>0.50173189110354888</v>
      </c>
      <c r="AX63" s="36">
        <f t="shared" si="36"/>
        <v>0.59376642651742373</v>
      </c>
      <c r="AY63" s="36">
        <f t="shared" si="37"/>
        <v>0.64308384788504824</v>
      </c>
      <c r="BA63" s="36">
        <f t="shared" si="27"/>
        <v>0.63700000000000001</v>
      </c>
      <c r="BB63" s="36">
        <v>0.36299999999999999</v>
      </c>
      <c r="BD63" s="36">
        <f t="shared" si="28"/>
        <v>0.60801890028543149</v>
      </c>
      <c r="BE63" s="36">
        <v>0.39198109971456857</v>
      </c>
      <c r="BF63" s="36"/>
      <c r="BH63" s="36">
        <v>0.39600000000000002</v>
      </c>
      <c r="BI63" s="36">
        <v>0.28599999999999998</v>
      </c>
      <c r="BJ63" s="36">
        <v>0.11599999999999999</v>
      </c>
      <c r="BL63" s="41">
        <v>1187.3</v>
      </c>
      <c r="BN63" s="40">
        <v>49.531700000000001</v>
      </c>
      <c r="BQ63" s="34" t="s">
        <v>278</v>
      </c>
      <c r="BR63" s="34" t="s">
        <v>27</v>
      </c>
      <c r="BS63" s="39">
        <v>0.41744718106282108</v>
      </c>
      <c r="CA63"/>
      <c r="CB63"/>
      <c r="CC63"/>
      <c r="CD63"/>
      <c r="CE63"/>
      <c r="CR63" s="34" t="s">
        <v>136</v>
      </c>
      <c r="CS63" s="34" t="s">
        <v>155</v>
      </c>
      <c r="CT63" s="34">
        <f t="shared" si="29"/>
        <v>0</v>
      </c>
      <c r="CU63" s="34">
        <f t="shared" si="30"/>
        <v>0</v>
      </c>
      <c r="CV63" s="34">
        <f t="shared" si="31"/>
        <v>0</v>
      </c>
      <c r="CW63" s="34">
        <f t="shared" si="32"/>
        <v>0</v>
      </c>
      <c r="CX63" s="38">
        <f t="shared" si="33"/>
        <v>0</v>
      </c>
      <c r="CY63" s="36">
        <f t="shared" si="13"/>
        <v>0.39639420000000003</v>
      </c>
      <c r="CZ63" s="37">
        <f t="shared" si="34"/>
        <v>4.6594549522049888E-6</v>
      </c>
      <c r="DA63" s="34" t="str">
        <f t="shared" si="14"/>
        <v/>
      </c>
    </row>
    <row r="64" spans="1:105" s="34" customFormat="1" x14ac:dyDescent="0.25">
      <c r="A64" s="34" t="s">
        <v>78</v>
      </c>
      <c r="B64" s="36" t="s">
        <v>141</v>
      </c>
      <c r="C64" s="34" t="s">
        <v>3</v>
      </c>
      <c r="D64" s="36">
        <v>0.54500000000000004</v>
      </c>
      <c r="E64" s="42">
        <f t="shared" si="25"/>
        <v>0.45499999999999996</v>
      </c>
      <c r="F64" s="36">
        <v>0.56948288877705078</v>
      </c>
      <c r="G64" s="36">
        <f t="shared" si="44"/>
        <v>-2.4482888777050738E-2</v>
      </c>
      <c r="H64" s="42">
        <f t="shared" si="45"/>
        <v>2.4482888777050738E-2</v>
      </c>
      <c r="J64" s="34" t="s">
        <v>129</v>
      </c>
      <c r="L64" s="34" t="s">
        <v>291</v>
      </c>
      <c r="O64" s="34" t="s">
        <v>290</v>
      </c>
      <c r="R64" s="50" t="s">
        <v>289</v>
      </c>
      <c r="AH64" s="36">
        <v>0.57999999999999996</v>
      </c>
      <c r="AI64" s="36">
        <v>0.53479200246922043</v>
      </c>
      <c r="AJ64" s="36">
        <v>0.54366942148760333</v>
      </c>
      <c r="AK64" s="36">
        <v>0.56769801189030233</v>
      </c>
      <c r="AL64" s="36">
        <v>0.56000000000000005</v>
      </c>
      <c r="AM64" s="36">
        <v>0.66586371985185633</v>
      </c>
      <c r="AN64" s="36">
        <v>0.61217018053276107</v>
      </c>
      <c r="AO64" s="36">
        <v>0.56948288877705078</v>
      </c>
      <c r="AP64" s="36">
        <f t="shared" si="26"/>
        <v>-4.2687291755710288E-2</v>
      </c>
      <c r="AQ64" s="36"/>
      <c r="AR64" s="36">
        <f t="shared" si="47"/>
        <v>0.42000000000000004</v>
      </c>
      <c r="AS64" s="36">
        <f t="shared" si="48"/>
        <v>0.46520799753077957</v>
      </c>
      <c r="AT64" s="36">
        <f t="shared" si="49"/>
        <v>0.45633057851239667</v>
      </c>
      <c r="AU64" s="36">
        <f t="shared" si="50"/>
        <v>0.43230198810969767</v>
      </c>
      <c r="AV64" s="36">
        <f t="shared" si="46"/>
        <v>0.43999999999999995</v>
      </c>
      <c r="AW64" s="36">
        <f t="shared" si="35"/>
        <v>0.33413628014814367</v>
      </c>
      <c r="AX64" s="36">
        <f t="shared" si="36"/>
        <v>0.38782981946723893</v>
      </c>
      <c r="AY64" s="36">
        <f t="shared" si="37"/>
        <v>0.43051711122294922</v>
      </c>
      <c r="BA64" s="36">
        <f t="shared" si="27"/>
        <v>0.45499999999999996</v>
      </c>
      <c r="BB64" s="36">
        <v>0.54500000000000004</v>
      </c>
      <c r="BD64" s="36">
        <f t="shared" si="28"/>
        <v>0.45615558062041095</v>
      </c>
      <c r="BE64" s="36">
        <v>0.54384441937958905</v>
      </c>
      <c r="BF64" s="36"/>
      <c r="BH64" s="36">
        <v>0.51200000000000001</v>
      </c>
      <c r="BI64" s="36">
        <v>0.30199999999999999</v>
      </c>
      <c r="BJ64" s="36">
        <v>0.375</v>
      </c>
      <c r="BL64" s="41">
        <v>1610.14</v>
      </c>
      <c r="BN64" s="40">
        <v>42.059800000000003</v>
      </c>
      <c r="BQ64" s="34" t="s">
        <v>278</v>
      </c>
      <c r="BR64" s="34" t="s">
        <v>50</v>
      </c>
      <c r="BS64" s="39">
        <v>0.28888118010472935</v>
      </c>
      <c r="CA64"/>
      <c r="CB64"/>
      <c r="CC64"/>
      <c r="CD64"/>
      <c r="CE64"/>
      <c r="CR64" s="34" t="s">
        <v>3</v>
      </c>
      <c r="CS64" s="34" t="s">
        <v>131</v>
      </c>
      <c r="CT64" s="34">
        <f t="shared" si="29"/>
        <v>0</v>
      </c>
      <c r="CU64" s="34">
        <f t="shared" si="30"/>
        <v>0</v>
      </c>
      <c r="CV64" s="34">
        <f t="shared" si="31"/>
        <v>0</v>
      </c>
      <c r="CW64" s="34">
        <f t="shared" si="32"/>
        <v>0</v>
      </c>
      <c r="CX64" s="38">
        <f t="shared" si="33"/>
        <v>0</v>
      </c>
      <c r="CY64" s="36">
        <f t="shared" si="13"/>
        <v>0.57839420000000008</v>
      </c>
      <c r="CZ64" s="37">
        <f t="shared" si="34"/>
        <v>0.99960147066650407</v>
      </c>
      <c r="DA64" s="34" t="str">
        <f t="shared" si="14"/>
        <v/>
      </c>
    </row>
    <row r="65" spans="1:105" s="34" customFormat="1" x14ac:dyDescent="0.25">
      <c r="A65" s="34" t="s">
        <v>77</v>
      </c>
      <c r="B65" s="36" t="s">
        <v>130</v>
      </c>
      <c r="C65" s="34" t="s">
        <v>246</v>
      </c>
      <c r="D65" s="36">
        <v>0.60299999999999998</v>
      </c>
      <c r="E65" s="42">
        <f t="shared" si="25"/>
        <v>0.39700000000000002</v>
      </c>
      <c r="F65" s="36">
        <v>0.75889473386503759</v>
      </c>
      <c r="G65" s="36"/>
      <c r="H65" s="42"/>
      <c r="J65" s="34" t="s">
        <v>129</v>
      </c>
      <c r="L65" s="34" t="s">
        <v>288</v>
      </c>
      <c r="O65" s="34" t="s">
        <v>287</v>
      </c>
      <c r="R65" s="34" t="s">
        <v>286</v>
      </c>
      <c r="S65" s="34" t="s">
        <v>283</v>
      </c>
      <c r="AH65" s="36">
        <v>0.71599999999999997</v>
      </c>
      <c r="AI65" s="36">
        <v>0.65014212236058477</v>
      </c>
      <c r="AJ65" s="36">
        <v>0.69531977771353315</v>
      </c>
      <c r="AK65" s="36">
        <v>0.72664216077992649</v>
      </c>
      <c r="AL65" s="36">
        <v>0.72599999999999998</v>
      </c>
      <c r="AM65" s="36">
        <v>0.78281008749356662</v>
      </c>
      <c r="AN65" s="36">
        <v>0.80293702513588994</v>
      </c>
      <c r="AO65" s="36">
        <v>0.75889473386503759</v>
      </c>
      <c r="AP65" s="36">
        <f t="shared" si="26"/>
        <v>-4.4042291270852352E-2</v>
      </c>
      <c r="AQ65" s="36"/>
      <c r="AR65" s="36">
        <f t="shared" si="47"/>
        <v>0.28400000000000003</v>
      </c>
      <c r="AS65" s="36">
        <f t="shared" si="48"/>
        <v>0.34985787763941523</v>
      </c>
      <c r="AT65" s="36">
        <f t="shared" si="49"/>
        <v>0.30468022228646685</v>
      </c>
      <c r="AU65" s="36">
        <f t="shared" si="50"/>
        <v>0.27335783922007351</v>
      </c>
      <c r="AV65" s="36">
        <f t="shared" si="46"/>
        <v>0.27400000000000002</v>
      </c>
      <c r="AW65" s="36">
        <f t="shared" si="35"/>
        <v>0.21718991250643338</v>
      </c>
      <c r="AX65" s="36">
        <f t="shared" si="36"/>
        <v>0.19706297486411006</v>
      </c>
      <c r="AY65" s="36">
        <f t="shared" si="37"/>
        <v>0.24110526613496241</v>
      </c>
      <c r="BA65" s="36">
        <f t="shared" si="27"/>
        <v>0.39700000000000002</v>
      </c>
      <c r="BB65" s="36">
        <v>0.60299999999999998</v>
      </c>
      <c r="BD65" s="36">
        <f t="shared" si="28"/>
        <v>0.25624516558917643</v>
      </c>
      <c r="BE65" s="36">
        <v>0.74375483441082357</v>
      </c>
      <c r="BF65" s="36">
        <f>1-52.1%</f>
        <v>0.47899999999999998</v>
      </c>
      <c r="BH65" s="36">
        <v>0.66600000000000004</v>
      </c>
      <c r="BI65" s="36">
        <v>0.29699999999999999</v>
      </c>
      <c r="BJ65" s="36">
        <v>0.33599999999999997</v>
      </c>
      <c r="BL65" s="41">
        <v>1863.13</v>
      </c>
      <c r="BN65" s="40">
        <v>36.108400000000003</v>
      </c>
      <c r="BQ65" s="34" t="s">
        <v>278</v>
      </c>
      <c r="BR65" s="34" t="s">
        <v>73</v>
      </c>
      <c r="BS65" s="39">
        <v>0.23000809422336752</v>
      </c>
      <c r="BU65" s="51" t="s">
        <v>246</v>
      </c>
      <c r="BV65" s="34" t="s">
        <v>285</v>
      </c>
      <c r="CA65" t="s">
        <v>284</v>
      </c>
      <c r="CB65"/>
      <c r="CC65"/>
      <c r="CD65"/>
      <c r="CE65"/>
      <c r="CI65" s="34" t="s">
        <v>283</v>
      </c>
      <c r="CR65" s="34" t="s">
        <v>3</v>
      </c>
      <c r="CS65" s="34" t="s">
        <v>131</v>
      </c>
      <c r="CT65" s="34">
        <f t="shared" si="29"/>
        <v>0</v>
      </c>
      <c r="CU65" s="34">
        <f t="shared" si="30"/>
        <v>0</v>
      </c>
      <c r="CV65" s="34">
        <f t="shared" si="31"/>
        <v>0</v>
      </c>
      <c r="CW65" s="34">
        <f t="shared" si="32"/>
        <v>0</v>
      </c>
      <c r="CX65" s="38">
        <f t="shared" si="33"/>
        <v>0</v>
      </c>
      <c r="CY65" s="36">
        <f t="shared" si="13"/>
        <v>0.63639420000000002</v>
      </c>
      <c r="CZ65" s="37">
        <f t="shared" si="34"/>
        <v>0.99999999731266143</v>
      </c>
      <c r="DA65" s="34" t="str">
        <f t="shared" si="14"/>
        <v/>
      </c>
    </row>
    <row r="66" spans="1:105" s="34" customFormat="1" x14ac:dyDescent="0.25">
      <c r="A66" s="34" t="s">
        <v>75</v>
      </c>
      <c r="B66" s="36" t="s">
        <v>106</v>
      </c>
      <c r="C66" s="34" t="s">
        <v>3</v>
      </c>
      <c r="D66" s="36">
        <v>0.55100000000000005</v>
      </c>
      <c r="E66" s="42">
        <f t="shared" si="25"/>
        <v>0.44899999999999995</v>
      </c>
      <c r="F66" s="36">
        <v>0.54709603585847344</v>
      </c>
      <c r="G66" s="36">
        <f t="shared" ref="G66:G71" si="51">D66-F66</f>
        <v>3.9039641415266058E-3</v>
      </c>
      <c r="H66" s="42">
        <f t="shared" ref="H66:H71" si="52">0-G66</f>
        <v>-3.9039641415266058E-3</v>
      </c>
      <c r="J66" s="34" t="s">
        <v>129</v>
      </c>
      <c r="O66" s="34" t="s">
        <v>282</v>
      </c>
      <c r="Q66" s="34" t="s">
        <v>281</v>
      </c>
      <c r="R66" s="34" t="s">
        <v>280</v>
      </c>
      <c r="AD66" s="34" t="s">
        <v>279</v>
      </c>
      <c r="AH66" s="36">
        <v>0.55700000000000005</v>
      </c>
      <c r="AI66" s="36">
        <v>0.47092387590542573</v>
      </c>
      <c r="AJ66" s="36">
        <v>0.49092053814036718</v>
      </c>
      <c r="AK66" s="36">
        <v>0.53234400026149775</v>
      </c>
      <c r="AL66" s="36">
        <v>0.52800000000000002</v>
      </c>
      <c r="AM66" s="36">
        <v>0.65205042284984838</v>
      </c>
      <c r="AN66" s="36">
        <v>0.62372181436811747</v>
      </c>
      <c r="AO66" s="36">
        <v>0.54709603585847344</v>
      </c>
      <c r="AP66" s="36">
        <f t="shared" si="26"/>
        <v>-7.6625778509644027E-2</v>
      </c>
      <c r="AQ66" s="36"/>
      <c r="AR66" s="36">
        <f t="shared" si="47"/>
        <v>0.44299999999999995</v>
      </c>
      <c r="AS66" s="36">
        <f t="shared" si="48"/>
        <v>0.52907612409457427</v>
      </c>
      <c r="AT66" s="36">
        <f t="shared" si="49"/>
        <v>0.50907946185963282</v>
      </c>
      <c r="AU66" s="36">
        <f t="shared" si="50"/>
        <v>0.46765599973850225</v>
      </c>
      <c r="AV66" s="36">
        <f t="shared" si="46"/>
        <v>0.47199999999999998</v>
      </c>
      <c r="AW66" s="36">
        <f t="shared" si="35"/>
        <v>0.34794957715015162</v>
      </c>
      <c r="AX66" s="36">
        <f t="shared" si="36"/>
        <v>0.37627818563188253</v>
      </c>
      <c r="AY66" s="36">
        <f t="shared" si="37"/>
        <v>0.45290396414152656</v>
      </c>
      <c r="BA66" s="36">
        <f t="shared" si="27"/>
        <v>0.44899999999999995</v>
      </c>
      <c r="BB66" s="36">
        <v>0.55100000000000005</v>
      </c>
      <c r="BD66" s="36">
        <f t="shared" si="28"/>
        <v>0.47628693910329079</v>
      </c>
      <c r="BE66" s="36">
        <v>0.52371306089670921</v>
      </c>
      <c r="BF66" s="36"/>
      <c r="BH66" s="36">
        <v>0.68500000000000005</v>
      </c>
      <c r="BI66" s="36">
        <v>0.28599999999999998</v>
      </c>
      <c r="BJ66" s="36">
        <v>0.45799999999999996</v>
      </c>
      <c r="BL66" s="41">
        <v>1643.11</v>
      </c>
      <c r="BN66" s="40">
        <v>34.9893</v>
      </c>
      <c r="BQ66" s="34" t="s">
        <v>278</v>
      </c>
      <c r="BR66" s="34" t="s">
        <v>60</v>
      </c>
      <c r="BS66" s="39">
        <v>6.3663544609082051E-2</v>
      </c>
      <c r="CA66"/>
      <c r="CB66"/>
      <c r="CC66"/>
      <c r="CD66"/>
      <c r="CE66"/>
      <c r="CR66" s="34" t="s">
        <v>3</v>
      </c>
      <c r="CS66" s="34" t="s">
        <v>120</v>
      </c>
      <c r="CT66" s="34">
        <f t="shared" si="29"/>
        <v>1</v>
      </c>
      <c r="CU66" s="34">
        <f t="shared" si="30"/>
        <v>0</v>
      </c>
      <c r="CV66" s="34">
        <f t="shared" si="31"/>
        <v>0</v>
      </c>
      <c r="CW66" s="34">
        <f t="shared" si="32"/>
        <v>0</v>
      </c>
      <c r="CX66" s="38">
        <f t="shared" si="33"/>
        <v>-0.01</v>
      </c>
      <c r="CY66" s="36">
        <f t="shared" si="13"/>
        <v>0.57439420000000008</v>
      </c>
      <c r="CZ66" s="37">
        <f t="shared" si="34"/>
        <v>0.99927042764644902</v>
      </c>
      <c r="DA66" s="34" t="str">
        <f t="shared" si="14"/>
        <v/>
      </c>
    </row>
    <row r="67" spans="1:105" s="34" customFormat="1" x14ac:dyDescent="0.25">
      <c r="A67" s="34" t="s">
        <v>72</v>
      </c>
      <c r="B67" s="36" t="s">
        <v>110</v>
      </c>
      <c r="C67" s="34" t="s">
        <v>204</v>
      </c>
      <c r="D67" s="36">
        <v>0.308</v>
      </c>
      <c r="E67" s="52">
        <f t="shared" ref="E67:E90" si="53">1-D67</f>
        <v>0.69199999999999995</v>
      </c>
      <c r="F67" s="36">
        <v>0.30964288847942439</v>
      </c>
      <c r="G67" s="36">
        <f t="shared" si="51"/>
        <v>-1.6428884794243981E-3</v>
      </c>
      <c r="H67" s="52">
        <f t="shared" si="52"/>
        <v>1.6428884794243981E-3</v>
      </c>
      <c r="K67" s="34" t="s">
        <v>277</v>
      </c>
      <c r="L67" s="34" t="s">
        <v>129</v>
      </c>
      <c r="Q67" s="34" t="s">
        <v>276</v>
      </c>
      <c r="R67" s="34" t="s">
        <v>275</v>
      </c>
      <c r="V67" s="51" t="s">
        <v>271</v>
      </c>
      <c r="AG67" s="34" t="s">
        <v>274</v>
      </c>
      <c r="AH67" s="36">
        <v>0.28199999999999997</v>
      </c>
      <c r="AI67" s="36">
        <v>0.26018931138795826</v>
      </c>
      <c r="AJ67" s="36">
        <v>0.27547063606229283</v>
      </c>
      <c r="AK67" s="36">
        <v>0.34093345947650583</v>
      </c>
      <c r="AL67" s="36">
        <v>0.34200000000000003</v>
      </c>
      <c r="AM67" s="36">
        <v>0.36106155916502364</v>
      </c>
      <c r="AN67" s="36">
        <v>0.28240080148152646</v>
      </c>
      <c r="AO67" s="36">
        <v>0.30964288847942439</v>
      </c>
      <c r="AP67" s="36">
        <f t="shared" ref="AP67:AP80" si="54">AO67-AN67</f>
        <v>2.724208699789793E-2</v>
      </c>
      <c r="AQ67" s="36"/>
      <c r="AR67" s="36">
        <f t="shared" si="47"/>
        <v>0.71799999999999997</v>
      </c>
      <c r="AS67" s="36">
        <f t="shared" si="48"/>
        <v>0.73981068861204169</v>
      </c>
      <c r="AT67" s="36">
        <f t="shared" si="49"/>
        <v>0.72452936393770717</v>
      </c>
      <c r="AU67" s="36">
        <f t="shared" si="50"/>
        <v>0.65906654052349412</v>
      </c>
      <c r="AV67" s="36">
        <f t="shared" si="46"/>
        <v>0.65799999999999992</v>
      </c>
      <c r="AW67" s="36">
        <f t="shared" si="35"/>
        <v>0.63893844083497631</v>
      </c>
      <c r="AX67" s="36">
        <f t="shared" si="36"/>
        <v>0.71759919851847354</v>
      </c>
      <c r="AY67" s="36">
        <f t="shared" si="37"/>
        <v>0.69035711152057555</v>
      </c>
      <c r="BA67" s="36">
        <f t="shared" ref="BA67:BA90" si="55">1-BB67</f>
        <v>0.69199999999999995</v>
      </c>
      <c r="BB67" s="36">
        <v>0.308</v>
      </c>
      <c r="BD67" s="36">
        <f t="shared" ref="BD67:BD90" si="56">1-BE67</f>
        <v>0.62691192447797583</v>
      </c>
      <c r="BE67" s="36">
        <v>0.37308807552202417</v>
      </c>
      <c r="BF67" s="36"/>
      <c r="BH67" s="36">
        <v>0.34100000000000003</v>
      </c>
      <c r="BI67" s="36">
        <v>0.318</v>
      </c>
      <c r="BJ67" s="36">
        <v>9.8999999999999977E-2</v>
      </c>
      <c r="BL67" s="41">
        <v>1124.76</v>
      </c>
      <c r="BN67" s="40">
        <v>44.281399999999998</v>
      </c>
      <c r="BQ67" s="34" t="s">
        <v>273</v>
      </c>
      <c r="BR67" s="34" t="s">
        <v>96</v>
      </c>
      <c r="BS67" s="39">
        <v>1</v>
      </c>
      <c r="BU67" s="51" t="s">
        <v>207</v>
      </c>
      <c r="BV67" s="53"/>
      <c r="CA67" t="s">
        <v>272</v>
      </c>
      <c r="CB67"/>
      <c r="CC67"/>
      <c r="CD67"/>
      <c r="CE67"/>
      <c r="CL67" s="51" t="s">
        <v>271</v>
      </c>
      <c r="CR67" s="34" t="s">
        <v>204</v>
      </c>
      <c r="CS67" s="34" t="s">
        <v>270</v>
      </c>
      <c r="CT67" s="34">
        <f t="shared" ref="CT67:CT90" si="57">IF(CS67="ALPVAC",1,IF(CS67="LIBVAC",1,IF(CS67="NATVAC",1,0)))</f>
        <v>0</v>
      </c>
      <c r="CU67" s="34">
        <f t="shared" ref="CU67:CU90" si="58">IF(CS67="ALPSOPWIN",1,IF(CS67="LIBSOPWIN",1,IF(CS67="NATSOPWIN",1,0)))</f>
        <v>0</v>
      </c>
      <c r="CV67" s="34">
        <f t="shared" ref="CV67:CV90" si="59">IF(CS67="ALPSOPVAC",1,IF(CS67="LIBSOPVAC",1,IF(CS67="NATSOPVAC",1,0)))</f>
        <v>1</v>
      </c>
      <c r="CW67" s="34">
        <f t="shared" ref="CW67:CW90" si="60">IF(CV67=1,IF(B67="Eastern Victoria",1,IF(B67="Western Victoria",1,IF(B67="Northern Victoria",1,0))),0)</f>
        <v>1</v>
      </c>
      <c r="CX67" s="38">
        <f t="shared" ref="CX67:CX90" si="61">(-0.01*CT67)+(0.009*CU67)+(0.005*CV67)+(0.008*CW67)</f>
        <v>1.3000000000000001E-2</v>
      </c>
      <c r="CY67" s="36">
        <f t="shared" si="13"/>
        <v>0.32839420000000002</v>
      </c>
      <c r="CZ67" s="37">
        <f t="shared" ref="CZ67:CZ90" si="62">(1-(NORMDIST(0.5,CY67,DE$2,1)))</f>
        <v>1.0558220964185239E-13</v>
      </c>
      <c r="DA67" s="34" t="str">
        <f t="shared" si="14"/>
        <v/>
      </c>
    </row>
    <row r="68" spans="1:105" s="34" customFormat="1" x14ac:dyDescent="0.25">
      <c r="A68" s="34" t="s">
        <v>71</v>
      </c>
      <c r="B68" s="36" t="s">
        <v>130</v>
      </c>
      <c r="C68" s="34" t="s">
        <v>3</v>
      </c>
      <c r="D68" s="36">
        <v>0.68500000000000005</v>
      </c>
      <c r="E68" s="42">
        <f t="shared" si="53"/>
        <v>0.31499999999999995</v>
      </c>
      <c r="F68" s="36">
        <v>0.67803484718651819</v>
      </c>
      <c r="G68" s="36">
        <f t="shared" si="51"/>
        <v>6.9651528134818674E-3</v>
      </c>
      <c r="H68" s="42">
        <f t="shared" si="52"/>
        <v>-6.9651528134818674E-3</v>
      </c>
      <c r="J68" s="34" t="s">
        <v>129</v>
      </c>
      <c r="O68" s="50" t="s">
        <v>269</v>
      </c>
      <c r="Q68" s="34" t="s">
        <v>268</v>
      </c>
      <c r="R68" s="34" t="s">
        <v>267</v>
      </c>
      <c r="W68" s="34" t="s">
        <v>263</v>
      </c>
      <c r="AD68" s="34" t="s">
        <v>266</v>
      </c>
      <c r="AH68" s="36">
        <v>0.58099999999999996</v>
      </c>
      <c r="AI68" s="36">
        <v>0.57923221244046763</v>
      </c>
      <c r="AJ68" s="36">
        <v>0.61033911728706169</v>
      </c>
      <c r="AK68" s="36">
        <v>0.64941012676778775</v>
      </c>
      <c r="AL68" s="36">
        <v>0.66900000000000004</v>
      </c>
      <c r="AM68" s="36">
        <v>0.74192860623781676</v>
      </c>
      <c r="AN68" s="36">
        <v>0.72779474648747711</v>
      </c>
      <c r="AO68" s="36">
        <v>0.67803484718651819</v>
      </c>
      <c r="AP68" s="36">
        <f t="shared" si="54"/>
        <v>-4.9759899300958921E-2</v>
      </c>
      <c r="AQ68" s="36"/>
      <c r="AR68" s="36">
        <f t="shared" si="47"/>
        <v>0.41900000000000004</v>
      </c>
      <c r="AS68" s="36">
        <f t="shared" si="48"/>
        <v>0.42076778755953237</v>
      </c>
      <c r="AT68" s="36">
        <f t="shared" si="49"/>
        <v>0.38966088271293831</v>
      </c>
      <c r="AU68" s="36">
        <f t="shared" si="50"/>
        <v>0.35058987323221225</v>
      </c>
      <c r="AV68" s="36">
        <f t="shared" si="46"/>
        <v>0.33099999999999996</v>
      </c>
      <c r="AW68" s="36">
        <f t="shared" si="35"/>
        <v>0.25807139376218324</v>
      </c>
      <c r="AX68" s="36">
        <f t="shared" si="36"/>
        <v>0.27220525351252289</v>
      </c>
      <c r="AY68" s="36">
        <f t="shared" si="37"/>
        <v>0.32196515281348181</v>
      </c>
      <c r="BA68" s="36">
        <f t="shared" si="55"/>
        <v>0.31499999999999995</v>
      </c>
      <c r="BB68" s="36">
        <v>0.68500000000000005</v>
      </c>
      <c r="BD68" s="36">
        <f t="shared" si="56"/>
        <v>0.32662009924288982</v>
      </c>
      <c r="BE68" s="36">
        <v>0.67337990075711018</v>
      </c>
      <c r="BF68" s="36"/>
      <c r="BH68" s="36">
        <v>0.53800000000000003</v>
      </c>
      <c r="BI68" s="36">
        <v>0.309</v>
      </c>
      <c r="BJ68" s="36">
        <v>0.45799999999999996</v>
      </c>
      <c r="BL68" s="41">
        <v>1419.79</v>
      </c>
      <c r="BN68" s="40">
        <v>36.758800000000001</v>
      </c>
      <c r="BQ68" s="34" t="s">
        <v>259</v>
      </c>
      <c r="BR68" s="34" t="s">
        <v>59</v>
      </c>
      <c r="BS68" s="39">
        <v>0.87973188984959672</v>
      </c>
      <c r="BV68" s="34" t="s">
        <v>265</v>
      </c>
      <c r="CA68" t="s">
        <v>264</v>
      </c>
      <c r="CB68"/>
      <c r="CC68"/>
      <c r="CD68"/>
      <c r="CE68"/>
      <c r="CM68" s="34" t="s">
        <v>263</v>
      </c>
      <c r="CR68" s="34" t="s">
        <v>3</v>
      </c>
      <c r="CS68" s="34" t="s">
        <v>120</v>
      </c>
      <c r="CT68" s="34">
        <f t="shared" si="57"/>
        <v>1</v>
      </c>
      <c r="CU68" s="34">
        <f t="shared" si="58"/>
        <v>0</v>
      </c>
      <c r="CV68" s="34">
        <f t="shared" si="59"/>
        <v>0</v>
      </c>
      <c r="CW68" s="34">
        <f t="shared" si="60"/>
        <v>0</v>
      </c>
      <c r="CX68" s="38">
        <f t="shared" si="61"/>
        <v>-0.01</v>
      </c>
      <c r="CY68" s="36">
        <f t="shared" ref="CY68:CY90" si="63">IF(CR68="ALP",D68+CX68+$DD$2,D68-CX68+$DD$2)</f>
        <v>0.70839420000000008</v>
      </c>
      <c r="CZ68" s="37">
        <f t="shared" si="62"/>
        <v>1</v>
      </c>
      <c r="DA68" s="34" t="str">
        <f t="shared" ref="DA68:DA90" si="64">IF(D68&lt;0.5,IF(CZ68&gt;0.5,"ALP GAIN",""),"")</f>
        <v/>
      </c>
    </row>
    <row r="69" spans="1:105" s="34" customFormat="1" x14ac:dyDescent="0.25">
      <c r="A69" s="34" t="s">
        <v>70</v>
      </c>
      <c r="B69" s="36" t="s">
        <v>98</v>
      </c>
      <c r="C69" s="34" t="s">
        <v>136</v>
      </c>
      <c r="D69" s="36">
        <v>0.36200000000000004</v>
      </c>
      <c r="E69" s="52">
        <f t="shared" si="53"/>
        <v>0.6379999999999999</v>
      </c>
      <c r="F69" s="36">
        <v>0.36714486199906438</v>
      </c>
      <c r="G69" s="36">
        <f t="shared" si="51"/>
        <v>-5.1448619990643318E-3</v>
      </c>
      <c r="H69" s="52">
        <f t="shared" si="52"/>
        <v>5.1448619990643318E-3</v>
      </c>
      <c r="J69" s="34" t="s">
        <v>262</v>
      </c>
      <c r="L69" s="34" t="s">
        <v>129</v>
      </c>
      <c r="Q69" s="34" t="s">
        <v>261</v>
      </c>
      <c r="R69" s="34" t="s">
        <v>260</v>
      </c>
      <c r="AH69" s="36">
        <v>0.35899999999999999</v>
      </c>
      <c r="AI69" s="36">
        <v>0.34155117270788915</v>
      </c>
      <c r="AJ69" s="36">
        <v>0.41651184772334671</v>
      </c>
      <c r="AK69" s="36">
        <v>0.39586568322981369</v>
      </c>
      <c r="AL69" s="36">
        <v>0.37</v>
      </c>
      <c r="AM69" s="36">
        <v>0.40530682704087317</v>
      </c>
      <c r="AN69" s="36">
        <v>0.39312831157480743</v>
      </c>
      <c r="AO69" s="36">
        <v>0.36714486199906438</v>
      </c>
      <c r="AP69" s="36">
        <f t="shared" si="54"/>
        <v>-2.5983449575743056E-2</v>
      </c>
      <c r="AQ69" s="36"/>
      <c r="AR69" s="36">
        <f t="shared" si="47"/>
        <v>0.64100000000000001</v>
      </c>
      <c r="AS69" s="36">
        <f t="shared" si="48"/>
        <v>0.65844882729211085</v>
      </c>
      <c r="AT69" s="36">
        <f t="shared" si="49"/>
        <v>0.58348815227665329</v>
      </c>
      <c r="AU69" s="36">
        <f t="shared" si="50"/>
        <v>0.60413431677018625</v>
      </c>
      <c r="AV69" s="36">
        <f t="shared" si="46"/>
        <v>0.63</v>
      </c>
      <c r="AW69" s="36">
        <f t="shared" ref="AW69:AW80" si="65">1-AM69</f>
        <v>0.59469317295912683</v>
      </c>
      <c r="AX69" s="36">
        <f t="shared" ref="AX69:AX80" si="66">1-AN69</f>
        <v>0.60687168842519257</v>
      </c>
      <c r="AY69" s="36">
        <f t="shared" ref="AY69:AY80" si="67">1-AO69</f>
        <v>0.63285513800093562</v>
      </c>
      <c r="BA69" s="36">
        <f t="shared" si="55"/>
        <v>0.6379999999999999</v>
      </c>
      <c r="BB69" s="36">
        <v>0.36200000000000004</v>
      </c>
      <c r="BD69" s="36">
        <f t="shared" si="56"/>
        <v>0.6213952691997835</v>
      </c>
      <c r="BE69" s="36">
        <v>0.37860473080021656</v>
      </c>
      <c r="BF69" s="36"/>
      <c r="BH69" s="36">
        <v>0.36199999999999999</v>
      </c>
      <c r="BI69" s="36">
        <v>0.33</v>
      </c>
      <c r="BJ69" s="36">
        <v>6.2999999999999945E-2</v>
      </c>
      <c r="BL69" s="41">
        <v>1240.46</v>
      </c>
      <c r="BN69" s="40">
        <v>42.427900000000001</v>
      </c>
      <c r="BQ69" s="34" t="s">
        <v>259</v>
      </c>
      <c r="BR69" s="34" t="s">
        <v>56</v>
      </c>
      <c r="BS69" s="39">
        <v>0.12026811015040326</v>
      </c>
      <c r="CA69"/>
      <c r="CB69"/>
      <c r="CC69"/>
      <c r="CD69"/>
      <c r="CE69"/>
      <c r="CR69" s="34" t="s">
        <v>136</v>
      </c>
      <c r="CS69" s="34" t="s">
        <v>155</v>
      </c>
      <c r="CT69" s="34">
        <f t="shared" si="57"/>
        <v>0</v>
      </c>
      <c r="CU69" s="34">
        <f t="shared" si="58"/>
        <v>0</v>
      </c>
      <c r="CV69" s="34">
        <f t="shared" si="59"/>
        <v>0</v>
      </c>
      <c r="CW69" s="34">
        <f t="shared" si="60"/>
        <v>0</v>
      </c>
      <c r="CX69" s="38">
        <f t="shared" si="61"/>
        <v>0</v>
      </c>
      <c r="CY69" s="36">
        <f t="shared" si="63"/>
        <v>0.39539420000000008</v>
      </c>
      <c r="CZ69" s="37">
        <f t="shared" si="62"/>
        <v>3.817288916296846E-6</v>
      </c>
      <c r="DA69" s="34" t="str">
        <f t="shared" si="64"/>
        <v/>
      </c>
    </row>
    <row r="70" spans="1:105" s="34" customFormat="1" x14ac:dyDescent="0.25">
      <c r="A70" s="34" t="s">
        <v>68</v>
      </c>
      <c r="B70" s="36" t="s">
        <v>106</v>
      </c>
      <c r="C70" s="34" t="s">
        <v>136</v>
      </c>
      <c r="D70" s="36">
        <v>0.45299999999999996</v>
      </c>
      <c r="E70" s="52">
        <f t="shared" si="53"/>
        <v>0.54700000000000004</v>
      </c>
      <c r="F70" s="36">
        <v>0.45721814306016106</v>
      </c>
      <c r="G70" s="36">
        <f t="shared" si="51"/>
        <v>-4.2181430601611059E-3</v>
      </c>
      <c r="H70" s="52">
        <f t="shared" si="52"/>
        <v>4.2181430601611059E-3</v>
      </c>
      <c r="J70" s="34" t="s">
        <v>258</v>
      </c>
      <c r="L70" s="34" t="s">
        <v>129</v>
      </c>
      <c r="Q70" s="34" t="s">
        <v>257</v>
      </c>
      <c r="R70" s="34" t="s">
        <v>256</v>
      </c>
      <c r="Y70" s="51" t="s">
        <v>255</v>
      </c>
      <c r="AH70" s="36">
        <v>0.496</v>
      </c>
      <c r="AI70" s="36">
        <v>0.42073474264095839</v>
      </c>
      <c r="AJ70" s="36">
        <v>0.45326137239784114</v>
      </c>
      <c r="AK70" s="36">
        <v>0.45975683890577507</v>
      </c>
      <c r="AL70" s="36">
        <v>0.45300000000000001</v>
      </c>
      <c r="AM70" s="36">
        <v>0.54417884447885412</v>
      </c>
      <c r="AN70" s="36">
        <v>0.53552644161805485</v>
      </c>
      <c r="AO70" s="36">
        <v>0.45721814306016106</v>
      </c>
      <c r="AP70" s="36">
        <f t="shared" si="54"/>
        <v>-7.8308298557893785E-2</v>
      </c>
      <c r="AQ70" s="36"/>
      <c r="AR70" s="36">
        <f t="shared" si="47"/>
        <v>0.504</v>
      </c>
      <c r="AS70" s="36">
        <f t="shared" si="48"/>
        <v>0.57926525735904155</v>
      </c>
      <c r="AT70" s="36">
        <f t="shared" si="49"/>
        <v>0.54673862760215886</v>
      </c>
      <c r="AU70" s="36">
        <f t="shared" si="50"/>
        <v>0.54024316109422488</v>
      </c>
      <c r="AV70" s="36">
        <f t="shared" si="46"/>
        <v>0.54699999999999993</v>
      </c>
      <c r="AW70" s="36">
        <f t="shared" si="65"/>
        <v>0.45582115552114588</v>
      </c>
      <c r="AX70" s="36">
        <f t="shared" si="66"/>
        <v>0.46447355838194515</v>
      </c>
      <c r="AY70" s="36">
        <f t="shared" si="67"/>
        <v>0.54278185693983894</v>
      </c>
      <c r="BA70" s="36">
        <f t="shared" si="55"/>
        <v>0.54700000000000004</v>
      </c>
      <c r="BB70" s="36">
        <v>0.45299999999999996</v>
      </c>
      <c r="BD70" s="36">
        <f t="shared" si="56"/>
        <v>0.49684597969457078</v>
      </c>
      <c r="BE70" s="36">
        <v>0.50315402030542922</v>
      </c>
      <c r="BF70" s="36"/>
      <c r="BH70" s="36">
        <v>0.74199999999999999</v>
      </c>
      <c r="BI70" s="36">
        <v>0.20699999999999999</v>
      </c>
      <c r="BJ70" s="36">
        <v>0.31299999999999994</v>
      </c>
      <c r="BL70" s="41">
        <v>2234.46</v>
      </c>
      <c r="BN70" s="40">
        <v>35.021000000000001</v>
      </c>
      <c r="BQ70" s="34" t="s">
        <v>250</v>
      </c>
      <c r="BR70" s="34" t="s">
        <v>28</v>
      </c>
      <c r="BS70" s="39">
        <v>0.68053742693377217</v>
      </c>
      <c r="CA70" t="s">
        <v>255</v>
      </c>
      <c r="CB70"/>
      <c r="CC70"/>
      <c r="CD70"/>
      <c r="CE70"/>
      <c r="CO70" s="51" t="s">
        <v>255</v>
      </c>
      <c r="CR70" s="34" t="s">
        <v>136</v>
      </c>
      <c r="CS70" s="34" t="s">
        <v>197</v>
      </c>
      <c r="CT70" s="34">
        <f t="shared" si="57"/>
        <v>0</v>
      </c>
      <c r="CU70" s="34">
        <f t="shared" si="58"/>
        <v>1</v>
      </c>
      <c r="CV70" s="34">
        <f t="shared" si="59"/>
        <v>0</v>
      </c>
      <c r="CW70" s="34">
        <f t="shared" si="60"/>
        <v>0</v>
      </c>
      <c r="CX70" s="38">
        <f t="shared" si="61"/>
        <v>8.9999999999999993E-3</v>
      </c>
      <c r="CY70" s="36">
        <f t="shared" si="63"/>
        <v>0.47739419999999999</v>
      </c>
      <c r="CZ70" s="37">
        <f t="shared" si="62"/>
        <v>0.16674503974266075</v>
      </c>
      <c r="DA70" s="34" t="str">
        <f t="shared" si="64"/>
        <v/>
      </c>
    </row>
    <row r="71" spans="1:105" s="34" customFormat="1" x14ac:dyDescent="0.25">
      <c r="A71" s="34" t="s">
        <v>254</v>
      </c>
      <c r="B71" s="36" t="s">
        <v>130</v>
      </c>
      <c r="C71" s="34" t="s">
        <v>3</v>
      </c>
      <c r="D71" s="36">
        <v>0.70200000000000007</v>
      </c>
      <c r="E71" s="42">
        <f t="shared" si="53"/>
        <v>0.29799999999999993</v>
      </c>
      <c r="F71" s="36">
        <v>0.70384161293252201</v>
      </c>
      <c r="G71" s="36">
        <f t="shared" si="51"/>
        <v>-1.841612932521941E-3</v>
      </c>
      <c r="H71" s="42">
        <f t="shared" si="52"/>
        <v>1.841612932521941E-3</v>
      </c>
      <c r="J71" s="34" t="s">
        <v>129</v>
      </c>
      <c r="L71" s="34" t="s">
        <v>253</v>
      </c>
      <c r="O71" s="34" t="s">
        <v>252</v>
      </c>
      <c r="R71" s="34" t="s">
        <v>251</v>
      </c>
      <c r="AH71" s="36">
        <v>0.68599999999999994</v>
      </c>
      <c r="AI71" s="36">
        <v>0.66056743421052633</v>
      </c>
      <c r="AJ71" s="36">
        <v>0.6530860443903922</v>
      </c>
      <c r="AK71" s="36">
        <v>0.68617092416744685</v>
      </c>
      <c r="AL71" s="36">
        <v>0.68900000000000006</v>
      </c>
      <c r="AM71" s="36">
        <v>0.77175181826344619</v>
      </c>
      <c r="AN71" s="36">
        <v>0.75303115090468198</v>
      </c>
      <c r="AO71" s="36">
        <v>0.70384161293252201</v>
      </c>
      <c r="AP71" s="36">
        <f t="shared" si="54"/>
        <v>-4.9189537972159969E-2</v>
      </c>
      <c r="AQ71" s="36"/>
      <c r="AR71" s="36">
        <f t="shared" si="47"/>
        <v>0.31400000000000006</v>
      </c>
      <c r="AS71" s="36">
        <f t="shared" si="48"/>
        <v>0.33943256578947367</v>
      </c>
      <c r="AT71" s="36">
        <f t="shared" si="49"/>
        <v>0.3469139556096078</v>
      </c>
      <c r="AU71" s="36">
        <f t="shared" si="50"/>
        <v>0.31382907583255315</v>
      </c>
      <c r="AV71" s="36">
        <f t="shared" si="46"/>
        <v>0.31099999999999994</v>
      </c>
      <c r="AW71" s="36">
        <f t="shared" si="65"/>
        <v>0.22824818173655381</v>
      </c>
      <c r="AX71" s="36">
        <f t="shared" si="66"/>
        <v>0.24696884909531802</v>
      </c>
      <c r="AY71" s="36">
        <f t="shared" si="67"/>
        <v>0.29615838706747799</v>
      </c>
      <c r="BA71" s="36">
        <f t="shared" si="55"/>
        <v>0.29799999999999993</v>
      </c>
      <c r="BB71" s="36">
        <v>0.70200000000000007</v>
      </c>
      <c r="BD71" s="36">
        <f t="shared" si="56"/>
        <v>0.31583343221698601</v>
      </c>
      <c r="BE71" s="36">
        <v>0.68416656778301399</v>
      </c>
      <c r="BF71" s="36"/>
      <c r="BH71" s="36">
        <v>0.51300000000000001</v>
      </c>
      <c r="BI71" s="36">
        <v>0.255</v>
      </c>
      <c r="BJ71" s="36">
        <v>0.501</v>
      </c>
      <c r="BL71" s="41">
        <v>1243.8900000000001</v>
      </c>
      <c r="BN71" s="40">
        <v>37.337800000000001</v>
      </c>
      <c r="BQ71" s="34" t="s">
        <v>250</v>
      </c>
      <c r="BR71" s="34" t="s">
        <v>45</v>
      </c>
      <c r="BS71" s="39">
        <v>0.31946257306622777</v>
      </c>
      <c r="CA71"/>
      <c r="CB71"/>
      <c r="CC71"/>
      <c r="CD71"/>
      <c r="CE71"/>
      <c r="CR71" s="34" t="s">
        <v>3</v>
      </c>
      <c r="CS71" s="34" t="s">
        <v>131</v>
      </c>
      <c r="CT71" s="34">
        <f t="shared" si="57"/>
        <v>0</v>
      </c>
      <c r="CU71" s="34">
        <f t="shared" si="58"/>
        <v>0</v>
      </c>
      <c r="CV71" s="34">
        <f t="shared" si="59"/>
        <v>0</v>
      </c>
      <c r="CW71" s="34">
        <f t="shared" si="60"/>
        <v>0</v>
      </c>
      <c r="CX71" s="38">
        <f t="shared" si="61"/>
        <v>0</v>
      </c>
      <c r="CY71" s="36">
        <f t="shared" si="63"/>
        <v>0.73539420000000011</v>
      </c>
      <c r="CZ71" s="37">
        <f t="shared" si="62"/>
        <v>1</v>
      </c>
      <c r="DA71" s="34" t="str">
        <f t="shared" si="64"/>
        <v/>
      </c>
    </row>
    <row r="72" spans="1:105" s="34" customFormat="1" x14ac:dyDescent="0.25">
      <c r="A72" s="34" t="s">
        <v>66</v>
      </c>
      <c r="B72" s="36" t="s">
        <v>130</v>
      </c>
      <c r="C72" s="34" t="s">
        <v>246</v>
      </c>
      <c r="D72" s="36">
        <v>0.56399999999999995</v>
      </c>
      <c r="E72" s="42">
        <f t="shared" si="53"/>
        <v>0.43600000000000005</v>
      </c>
      <c r="F72" s="36">
        <v>0.70248511447180839</v>
      </c>
      <c r="G72" s="36"/>
      <c r="H72" s="42"/>
      <c r="J72" s="34" t="s">
        <v>129</v>
      </c>
      <c r="L72" s="34" t="s">
        <v>249</v>
      </c>
      <c r="O72" s="50" t="s">
        <v>248</v>
      </c>
      <c r="R72" s="34" t="s">
        <v>247</v>
      </c>
      <c r="S72" s="34" t="s">
        <v>243</v>
      </c>
      <c r="T72" s="51" t="s">
        <v>242</v>
      </c>
      <c r="Z72" s="51" t="s">
        <v>241</v>
      </c>
      <c r="AH72" s="36">
        <v>0.67400000000000004</v>
      </c>
      <c r="AI72" s="36">
        <v>0.63015438080598807</v>
      </c>
      <c r="AJ72" s="36">
        <v>0.67102256079695288</v>
      </c>
      <c r="AK72" s="36">
        <v>0.66202567760342368</v>
      </c>
      <c r="AL72" s="36">
        <v>0.65700000000000003</v>
      </c>
      <c r="AM72" s="36">
        <v>0.75691830861191056</v>
      </c>
      <c r="AN72" s="36">
        <v>0.75168707823044234</v>
      </c>
      <c r="AO72" s="36">
        <v>0.70248511447180839</v>
      </c>
      <c r="AP72" s="36">
        <f t="shared" si="54"/>
        <v>-4.9201963758633949E-2</v>
      </c>
      <c r="AQ72" s="36"/>
      <c r="AR72" s="36">
        <f t="shared" si="47"/>
        <v>0.32599999999999996</v>
      </c>
      <c r="AS72" s="36">
        <f t="shared" si="48"/>
        <v>0.36984561919401193</v>
      </c>
      <c r="AT72" s="36">
        <f t="shared" si="49"/>
        <v>0.32897743920304712</v>
      </c>
      <c r="AU72" s="36">
        <f t="shared" si="50"/>
        <v>0.33797432239657632</v>
      </c>
      <c r="AV72" s="36">
        <f t="shared" si="46"/>
        <v>0.34299999999999997</v>
      </c>
      <c r="AW72" s="36">
        <f t="shared" si="65"/>
        <v>0.24308169138808944</v>
      </c>
      <c r="AX72" s="36">
        <f t="shared" si="66"/>
        <v>0.24831292176955766</v>
      </c>
      <c r="AY72" s="36">
        <f t="shared" si="67"/>
        <v>0.29751488552819161</v>
      </c>
      <c r="BA72" s="36">
        <f t="shared" si="55"/>
        <v>0.43600000000000005</v>
      </c>
      <c r="BB72" s="36">
        <v>0.56399999999999995</v>
      </c>
      <c r="BD72" s="36">
        <f t="shared" si="56"/>
        <v>0.29251163126841873</v>
      </c>
      <c r="BE72" s="36">
        <v>0.70748836873158127</v>
      </c>
      <c r="BF72" s="36">
        <v>0.442</v>
      </c>
      <c r="BH72" s="36">
        <v>0.71299999999999997</v>
      </c>
      <c r="BI72" s="36">
        <v>0.246</v>
      </c>
      <c r="BJ72" s="36">
        <v>0.32199999999999995</v>
      </c>
      <c r="BL72" s="41">
        <v>2162.92</v>
      </c>
      <c r="BN72" s="40">
        <v>34.311500000000002</v>
      </c>
      <c r="BQ72" s="34" t="s">
        <v>227</v>
      </c>
      <c r="BR72" s="34" t="s">
        <v>64</v>
      </c>
      <c r="BS72" s="39">
        <v>0.44230438816535517</v>
      </c>
      <c r="BU72" s="34" t="s">
        <v>246</v>
      </c>
      <c r="CA72" t="s">
        <v>245</v>
      </c>
      <c r="CB72" t="s">
        <v>244</v>
      </c>
      <c r="CC72" t="s">
        <v>241</v>
      </c>
      <c r="CD72"/>
      <c r="CE72"/>
      <c r="CI72" s="34" t="s">
        <v>243</v>
      </c>
      <c r="CJ72" s="51" t="s">
        <v>242</v>
      </c>
      <c r="CP72" s="51" t="s">
        <v>241</v>
      </c>
      <c r="CR72" s="34" t="s">
        <v>3</v>
      </c>
      <c r="CS72" s="34" t="s">
        <v>131</v>
      </c>
      <c r="CT72" s="34">
        <f t="shared" si="57"/>
        <v>0</v>
      </c>
      <c r="CU72" s="34">
        <f t="shared" si="58"/>
        <v>0</v>
      </c>
      <c r="CV72" s="34">
        <f t="shared" si="59"/>
        <v>0</v>
      </c>
      <c r="CW72" s="34">
        <f t="shared" si="60"/>
        <v>0</v>
      </c>
      <c r="CX72" s="38">
        <f t="shared" si="61"/>
        <v>0</v>
      </c>
      <c r="CY72" s="36">
        <f t="shared" si="63"/>
        <v>0.59739419999999999</v>
      </c>
      <c r="CZ72" s="37">
        <f t="shared" si="62"/>
        <v>0.99998454531416425</v>
      </c>
      <c r="DA72" s="34" t="str">
        <f t="shared" si="64"/>
        <v/>
      </c>
    </row>
    <row r="73" spans="1:105" s="34" customFormat="1" x14ac:dyDescent="0.25">
      <c r="A73" s="34" t="s">
        <v>63</v>
      </c>
      <c r="B73" s="36" t="s">
        <v>94</v>
      </c>
      <c r="C73" s="34" t="s">
        <v>136</v>
      </c>
      <c r="D73" s="36">
        <v>0.43700000000000006</v>
      </c>
      <c r="E73" s="52">
        <f t="shared" si="53"/>
        <v>0.56299999999999994</v>
      </c>
      <c r="F73" s="36">
        <v>0.47229215413322279</v>
      </c>
      <c r="G73" s="36">
        <f t="shared" ref="G73:G80" si="68">D73-F73</f>
        <v>-3.5292154133222731E-2</v>
      </c>
      <c r="H73" s="52">
        <f t="shared" ref="H73:H80" si="69">0-G73</f>
        <v>3.5292154133222731E-2</v>
      </c>
      <c r="J73" s="34" t="s">
        <v>240</v>
      </c>
      <c r="L73" s="34" t="s">
        <v>129</v>
      </c>
      <c r="Q73" s="34" t="s">
        <v>239</v>
      </c>
      <c r="R73" s="34" t="s">
        <v>238</v>
      </c>
      <c r="V73" s="34" t="s">
        <v>235</v>
      </c>
      <c r="X73" s="51" t="s">
        <v>234</v>
      </c>
      <c r="AG73" s="34" t="s">
        <v>237</v>
      </c>
      <c r="AH73" s="36">
        <v>0.52200000000000002</v>
      </c>
      <c r="AI73" s="36">
        <v>0.41378637619899206</v>
      </c>
      <c r="AJ73" s="36">
        <v>0.44562535585500096</v>
      </c>
      <c r="AK73" s="36">
        <v>0.50538005458481039</v>
      </c>
      <c r="AL73" s="36">
        <v>0.50019999999999998</v>
      </c>
      <c r="AM73" s="36">
        <v>0.57677446201402927</v>
      </c>
      <c r="AN73" s="36">
        <v>0.51972255729794936</v>
      </c>
      <c r="AO73" s="36">
        <v>0.47229215413322279</v>
      </c>
      <c r="AP73" s="36">
        <f t="shared" si="54"/>
        <v>-4.7430403164726576E-2</v>
      </c>
      <c r="AQ73" s="36"/>
      <c r="AR73" s="36">
        <f t="shared" si="47"/>
        <v>0.47799999999999998</v>
      </c>
      <c r="AS73" s="36">
        <f t="shared" si="48"/>
        <v>0.58621362380100794</v>
      </c>
      <c r="AT73" s="36">
        <f t="shared" si="49"/>
        <v>0.55437464414499904</v>
      </c>
      <c r="AU73" s="36">
        <f t="shared" si="50"/>
        <v>0.49461994541518961</v>
      </c>
      <c r="AV73" s="36">
        <f t="shared" si="46"/>
        <v>0.49980000000000002</v>
      </c>
      <c r="AW73" s="36">
        <f t="shared" si="65"/>
        <v>0.42322553798597073</v>
      </c>
      <c r="AX73" s="36">
        <f t="shared" si="66"/>
        <v>0.48027744270205064</v>
      </c>
      <c r="AY73" s="36">
        <f t="shared" si="67"/>
        <v>0.52770784586677721</v>
      </c>
      <c r="BA73" s="36">
        <f t="shared" si="55"/>
        <v>0.56299999999999994</v>
      </c>
      <c r="BB73" s="36">
        <v>0.43700000000000006</v>
      </c>
      <c r="BD73" s="36">
        <f t="shared" si="56"/>
        <v>0.54004268309273917</v>
      </c>
      <c r="BE73" s="36">
        <v>0.45995731690726083</v>
      </c>
      <c r="BH73" s="36">
        <v>0.58599999999999997</v>
      </c>
      <c r="BI73" s="36">
        <v>0.36399999999999999</v>
      </c>
      <c r="BJ73" s="36">
        <v>0.245</v>
      </c>
      <c r="BL73" s="41">
        <v>1620.02</v>
      </c>
      <c r="BN73" s="40">
        <v>37.759099999999997</v>
      </c>
      <c r="BQ73" s="34" t="s">
        <v>227</v>
      </c>
      <c r="BR73" s="34" t="s">
        <v>76</v>
      </c>
      <c r="BS73" s="39">
        <v>0.4361018521700285</v>
      </c>
      <c r="CA73" t="s">
        <v>236</v>
      </c>
      <c r="CB73" t="s">
        <v>234</v>
      </c>
      <c r="CC73"/>
      <c r="CD73"/>
      <c r="CE73"/>
      <c r="CL73" s="34" t="s">
        <v>235</v>
      </c>
      <c r="CN73" s="51" t="s">
        <v>234</v>
      </c>
      <c r="CR73" s="34" t="s">
        <v>136</v>
      </c>
      <c r="CS73" s="34" t="s">
        <v>155</v>
      </c>
      <c r="CT73" s="34">
        <f t="shared" si="57"/>
        <v>0</v>
      </c>
      <c r="CU73" s="34">
        <f t="shared" si="58"/>
        <v>0</v>
      </c>
      <c r="CV73" s="34">
        <f t="shared" si="59"/>
        <v>0</v>
      </c>
      <c r="CW73" s="34">
        <f t="shared" si="60"/>
        <v>0</v>
      </c>
      <c r="CX73" s="38">
        <f t="shared" si="61"/>
        <v>0</v>
      </c>
      <c r="CY73" s="36">
        <f t="shared" si="63"/>
        <v>0.4703942000000001</v>
      </c>
      <c r="CZ73" s="37">
        <f t="shared" si="62"/>
        <v>0.10265315003532605</v>
      </c>
      <c r="DA73" s="34" t="str">
        <f t="shared" si="64"/>
        <v/>
      </c>
    </row>
    <row r="74" spans="1:105" s="34" customFormat="1" x14ac:dyDescent="0.25">
      <c r="A74" s="34" t="s">
        <v>233</v>
      </c>
      <c r="B74" s="36" t="s">
        <v>98</v>
      </c>
      <c r="C74" s="34" t="s">
        <v>136</v>
      </c>
      <c r="D74" s="36">
        <v>0.48399999999999999</v>
      </c>
      <c r="E74" s="52">
        <f t="shared" si="53"/>
        <v>0.51600000000000001</v>
      </c>
      <c r="F74" s="36">
        <v>0.52707356171703379</v>
      </c>
      <c r="G74" s="36">
        <f t="shared" si="68"/>
        <v>-4.3073561717033804E-2</v>
      </c>
      <c r="H74" s="52">
        <f t="shared" si="69"/>
        <v>4.3073561717033804E-2</v>
      </c>
      <c r="L74" s="34" t="s">
        <v>129</v>
      </c>
      <c r="O74" s="34" t="s">
        <v>232</v>
      </c>
      <c r="P74" s="34" t="s">
        <v>231</v>
      </c>
      <c r="Q74" s="34" t="s">
        <v>230</v>
      </c>
      <c r="R74" s="34" t="s">
        <v>229</v>
      </c>
      <c r="V74" s="51" t="s">
        <v>224</v>
      </c>
      <c r="AD74" s="34" t="s">
        <v>228</v>
      </c>
      <c r="AH74" s="36">
        <v>0.44</v>
      </c>
      <c r="AI74" s="36">
        <v>0.428614498191076</v>
      </c>
      <c r="AJ74" s="36">
        <v>0.45392799785867238</v>
      </c>
      <c r="AK74" s="36">
        <v>0.52589116932217117</v>
      </c>
      <c r="AL74" s="36">
        <v>0.51700000000000002</v>
      </c>
      <c r="AM74" s="36">
        <v>0.57429404865726397</v>
      </c>
      <c r="AN74" s="36">
        <v>0.54347431475766927</v>
      </c>
      <c r="AO74" s="36">
        <v>0.52707356171703379</v>
      </c>
      <c r="AP74" s="36">
        <f t="shared" si="54"/>
        <v>-1.6400753040635485E-2</v>
      </c>
      <c r="AQ74" s="36">
        <f>AN74-AM74</f>
        <v>-3.0819733899594692E-2</v>
      </c>
      <c r="AR74" s="36">
        <f t="shared" si="47"/>
        <v>0.56000000000000005</v>
      </c>
      <c r="AS74" s="36">
        <f t="shared" si="48"/>
        <v>0.571385501808924</v>
      </c>
      <c r="AT74" s="36">
        <f t="shared" si="49"/>
        <v>0.54607200214132767</v>
      </c>
      <c r="AU74" s="36">
        <f t="shared" si="50"/>
        <v>0.47410883067782883</v>
      </c>
      <c r="AV74" s="36">
        <f t="shared" si="46"/>
        <v>0.48299999999999998</v>
      </c>
      <c r="AW74" s="36">
        <f t="shared" si="65"/>
        <v>0.42570595134273603</v>
      </c>
      <c r="AX74" s="36">
        <f t="shared" si="66"/>
        <v>0.45652568524233073</v>
      </c>
      <c r="AY74" s="36">
        <f t="shared" si="67"/>
        <v>0.47292643828296621</v>
      </c>
      <c r="BA74" s="36">
        <f t="shared" si="55"/>
        <v>0.51600000000000001</v>
      </c>
      <c r="BB74" s="36">
        <v>0.48399999999999999</v>
      </c>
      <c r="BD74" s="36">
        <f t="shared" si="56"/>
        <v>0.53983330126624107</v>
      </c>
      <c r="BE74" s="36">
        <v>0.46016669873375898</v>
      </c>
      <c r="BH74" s="36">
        <v>0.313</v>
      </c>
      <c r="BI74" s="36">
        <v>0.313</v>
      </c>
      <c r="BJ74" s="36">
        <v>6.7999999999999949E-2</v>
      </c>
      <c r="BL74" s="41">
        <v>1055.26</v>
      </c>
      <c r="BN74" s="40">
        <v>45.463200000000001</v>
      </c>
      <c r="BQ74" s="34" t="s">
        <v>227</v>
      </c>
      <c r="BR74" s="34" t="s">
        <v>74</v>
      </c>
      <c r="BS74" s="39">
        <v>0.12159375966461633</v>
      </c>
      <c r="BU74" s="51" t="s">
        <v>226</v>
      </c>
      <c r="CA74" t="s">
        <v>225</v>
      </c>
      <c r="CB74"/>
      <c r="CC74"/>
      <c r="CD74"/>
      <c r="CE74"/>
      <c r="CL74" s="51" t="s">
        <v>224</v>
      </c>
      <c r="CR74" s="34" t="s">
        <v>3</v>
      </c>
      <c r="CS74" s="34" t="s">
        <v>120</v>
      </c>
      <c r="CT74" s="34">
        <f t="shared" si="57"/>
        <v>1</v>
      </c>
      <c r="CU74" s="34">
        <f t="shared" si="58"/>
        <v>0</v>
      </c>
      <c r="CV74" s="34">
        <f t="shared" si="59"/>
        <v>0</v>
      </c>
      <c r="CW74" s="34">
        <f t="shared" si="60"/>
        <v>0</v>
      </c>
      <c r="CX74" s="38">
        <f t="shared" si="61"/>
        <v>-0.01</v>
      </c>
      <c r="CY74" s="36">
        <f t="shared" si="63"/>
        <v>0.50739420000000002</v>
      </c>
      <c r="CZ74" s="37">
        <f t="shared" si="62"/>
        <v>0.62412560318124921</v>
      </c>
      <c r="DA74" s="34" t="str">
        <f t="shared" si="64"/>
        <v>ALP GAIN</v>
      </c>
    </row>
    <row r="75" spans="1:105" s="34" customFormat="1" x14ac:dyDescent="0.25">
      <c r="A75" s="34" t="s">
        <v>57</v>
      </c>
      <c r="B75" s="36" t="s">
        <v>223</v>
      </c>
      <c r="C75" s="34" t="s">
        <v>136</v>
      </c>
      <c r="D75" s="36">
        <v>0.36899999999999999</v>
      </c>
      <c r="E75" s="52">
        <f t="shared" si="53"/>
        <v>0.63100000000000001</v>
      </c>
      <c r="F75" s="36">
        <v>0.35864150083980983</v>
      </c>
      <c r="G75" s="36">
        <f t="shared" si="68"/>
        <v>1.035849916019016E-2</v>
      </c>
      <c r="H75" s="52">
        <f t="shared" si="69"/>
        <v>-1.035849916019016E-2</v>
      </c>
      <c r="J75" s="34" t="s">
        <v>222</v>
      </c>
      <c r="L75" s="34" t="s">
        <v>129</v>
      </c>
      <c r="Q75" s="34" t="s">
        <v>221</v>
      </c>
      <c r="R75" s="50" t="s">
        <v>220</v>
      </c>
      <c r="AG75" s="34" t="s">
        <v>219</v>
      </c>
      <c r="AH75" s="36">
        <v>0.501</v>
      </c>
      <c r="AI75" s="36">
        <v>0.35767526188557613</v>
      </c>
      <c r="AJ75" s="36">
        <v>0.36842761803779706</v>
      </c>
      <c r="AK75" s="36">
        <v>0.38133600917431193</v>
      </c>
      <c r="AL75" s="36">
        <v>0.35200000000000004</v>
      </c>
      <c r="AM75" s="36">
        <v>0.466625877691344</v>
      </c>
      <c r="AN75" s="36">
        <v>0.38829324833381629</v>
      </c>
      <c r="AO75" s="36">
        <v>0.35864150083980983</v>
      </c>
      <c r="AP75" s="36">
        <f t="shared" si="54"/>
        <v>-2.9651747494006453E-2</v>
      </c>
      <c r="AQ75" s="36"/>
      <c r="AR75" s="36">
        <f t="shared" si="47"/>
        <v>0.499</v>
      </c>
      <c r="AS75" s="36">
        <f t="shared" si="48"/>
        <v>0.64232473811442392</v>
      </c>
      <c r="AT75" s="36">
        <f t="shared" si="49"/>
        <v>0.631572381962203</v>
      </c>
      <c r="AU75" s="36">
        <f t="shared" si="50"/>
        <v>0.61866399082568813</v>
      </c>
      <c r="AV75" s="36">
        <f t="shared" si="46"/>
        <v>0.64799999999999991</v>
      </c>
      <c r="AW75" s="36">
        <f t="shared" si="65"/>
        <v>0.533374122308656</v>
      </c>
      <c r="AX75" s="36">
        <f t="shared" si="66"/>
        <v>0.61170675166618371</v>
      </c>
      <c r="AY75" s="36">
        <f t="shared" si="67"/>
        <v>0.64135849916019017</v>
      </c>
      <c r="BA75" s="36">
        <f t="shared" si="55"/>
        <v>0.63100000000000001</v>
      </c>
      <c r="BB75" s="36">
        <v>0.36899999999999999</v>
      </c>
      <c r="BD75" s="36">
        <f t="shared" si="56"/>
        <v>0.59759125814161163</v>
      </c>
      <c r="BE75" s="36">
        <v>0.40240874185838837</v>
      </c>
      <c r="BH75" s="36">
        <v>0.56499999999999995</v>
      </c>
      <c r="BI75" s="36">
        <v>0.52700000000000002</v>
      </c>
      <c r="BJ75" s="36">
        <v>0.26200000000000001</v>
      </c>
      <c r="BL75" s="41">
        <v>1816.6</v>
      </c>
      <c r="BN75" s="40">
        <v>36.810400000000001</v>
      </c>
      <c r="BQ75" s="34" t="s">
        <v>218</v>
      </c>
      <c r="BR75" s="34" t="s">
        <v>91</v>
      </c>
      <c r="BS75" s="39">
        <v>1</v>
      </c>
      <c r="CA75"/>
      <c r="CB75"/>
      <c r="CC75"/>
      <c r="CD75"/>
      <c r="CE75"/>
      <c r="CR75" s="34" t="s">
        <v>136</v>
      </c>
      <c r="CS75" s="34" t="s">
        <v>155</v>
      </c>
      <c r="CT75" s="34">
        <f t="shared" si="57"/>
        <v>0</v>
      </c>
      <c r="CU75" s="34">
        <f t="shared" si="58"/>
        <v>0</v>
      </c>
      <c r="CV75" s="34">
        <f t="shared" si="59"/>
        <v>0</v>
      </c>
      <c r="CW75" s="34">
        <f t="shared" si="60"/>
        <v>0</v>
      </c>
      <c r="CX75" s="38">
        <f t="shared" si="61"/>
        <v>0</v>
      </c>
      <c r="CY75" s="36">
        <f t="shared" si="63"/>
        <v>0.40239420000000004</v>
      </c>
      <c r="CZ75" s="37">
        <f t="shared" si="62"/>
        <v>1.485267664746992E-5</v>
      </c>
      <c r="DA75" s="34" t="str">
        <f t="shared" si="64"/>
        <v/>
      </c>
    </row>
    <row r="76" spans="1:105" s="34" customFormat="1" x14ac:dyDescent="0.25">
      <c r="A76" s="34" t="s">
        <v>53</v>
      </c>
      <c r="B76" s="36" t="s">
        <v>106</v>
      </c>
      <c r="C76" s="34" t="s">
        <v>136</v>
      </c>
      <c r="D76" s="36">
        <v>0.34399999999999997</v>
      </c>
      <c r="E76" s="52">
        <f t="shared" si="53"/>
        <v>0.65600000000000003</v>
      </c>
      <c r="F76" s="36">
        <v>0.3406958618864151</v>
      </c>
      <c r="G76" s="36">
        <f t="shared" si="68"/>
        <v>3.3041381135848757E-3</v>
      </c>
      <c r="H76" s="52">
        <f t="shared" si="69"/>
        <v>-3.3041381135848757E-3</v>
      </c>
      <c r="J76" s="34" t="s">
        <v>217</v>
      </c>
      <c r="L76" s="34" t="s">
        <v>129</v>
      </c>
      <c r="Q76" s="34" t="s">
        <v>216</v>
      </c>
      <c r="R76" s="34" t="s">
        <v>215</v>
      </c>
      <c r="S76" s="51" t="s">
        <v>213</v>
      </c>
      <c r="AH76" s="36">
        <v>0.44400000000000001</v>
      </c>
      <c r="AI76" s="36">
        <v>0.30100039231071007</v>
      </c>
      <c r="AJ76" s="36">
        <v>0.35632850241545894</v>
      </c>
      <c r="AK76" s="36">
        <v>0.37512431426646564</v>
      </c>
      <c r="AL76" s="36">
        <v>0.379</v>
      </c>
      <c r="AM76" s="36">
        <v>0.46965295826326248</v>
      </c>
      <c r="AN76" s="36">
        <v>0.41323944516951466</v>
      </c>
      <c r="AO76" s="36">
        <v>0.3406958618864151</v>
      </c>
      <c r="AP76" s="36">
        <f t="shared" si="54"/>
        <v>-7.2543583283099566E-2</v>
      </c>
      <c r="AQ76" s="36"/>
      <c r="AR76" s="36">
        <f t="shared" si="47"/>
        <v>0.55600000000000005</v>
      </c>
      <c r="AS76" s="36">
        <f t="shared" si="48"/>
        <v>0.69899960768928993</v>
      </c>
      <c r="AT76" s="36">
        <f t="shared" si="49"/>
        <v>0.64367149758454101</v>
      </c>
      <c r="AU76" s="36">
        <f t="shared" si="50"/>
        <v>0.62487568573353436</v>
      </c>
      <c r="AV76" s="36">
        <f t="shared" si="46"/>
        <v>0.621</v>
      </c>
      <c r="AW76" s="36">
        <f t="shared" si="65"/>
        <v>0.53034704173673752</v>
      </c>
      <c r="AX76" s="36">
        <f t="shared" si="66"/>
        <v>0.58676055483048528</v>
      </c>
      <c r="AY76" s="36">
        <f t="shared" si="67"/>
        <v>0.6593041381135849</v>
      </c>
      <c r="BA76" s="36">
        <f t="shared" si="55"/>
        <v>0.65600000000000003</v>
      </c>
      <c r="BB76" s="36">
        <v>0.34399999999999997</v>
      </c>
      <c r="BD76" s="36">
        <f t="shared" si="56"/>
        <v>0.60888350179383743</v>
      </c>
      <c r="BE76" s="36">
        <v>0.39111649820616262</v>
      </c>
      <c r="BH76" s="36">
        <v>0.65200000000000002</v>
      </c>
      <c r="BI76" s="36">
        <v>0.34300000000000003</v>
      </c>
      <c r="BJ76" s="36">
        <v>0.15900000000000003</v>
      </c>
      <c r="BL76" s="41">
        <v>2148.8000000000002</v>
      </c>
      <c r="BN76" s="40">
        <v>42.170499999999997</v>
      </c>
      <c r="BQ76" s="34" t="s">
        <v>208</v>
      </c>
      <c r="BR76" s="34" t="s">
        <v>117</v>
      </c>
      <c r="BS76" s="39">
        <v>0.7824525900055489</v>
      </c>
      <c r="CA76" t="s">
        <v>214</v>
      </c>
      <c r="CB76"/>
      <c r="CC76"/>
      <c r="CD76"/>
      <c r="CE76"/>
      <c r="CI76" s="51" t="s">
        <v>213</v>
      </c>
      <c r="CR76" s="34" t="s">
        <v>136</v>
      </c>
      <c r="CS76" s="34" t="s">
        <v>155</v>
      </c>
      <c r="CT76" s="34">
        <f t="shared" si="57"/>
        <v>0</v>
      </c>
      <c r="CU76" s="34">
        <f t="shared" si="58"/>
        <v>0</v>
      </c>
      <c r="CV76" s="34">
        <f t="shared" si="59"/>
        <v>0</v>
      </c>
      <c r="CW76" s="34">
        <f t="shared" si="60"/>
        <v>0</v>
      </c>
      <c r="CX76" s="38">
        <f t="shared" si="61"/>
        <v>0</v>
      </c>
      <c r="CY76" s="36">
        <f t="shared" si="63"/>
        <v>0.37739420000000001</v>
      </c>
      <c r="CZ76" s="37">
        <f t="shared" si="62"/>
        <v>7.8035848005697517E-8</v>
      </c>
      <c r="DA76" s="34" t="str">
        <f t="shared" si="64"/>
        <v/>
      </c>
    </row>
    <row r="77" spans="1:105" s="34" customFormat="1" x14ac:dyDescent="0.25">
      <c r="A77" s="34" t="s">
        <v>51</v>
      </c>
      <c r="B77" s="36" t="s">
        <v>110</v>
      </c>
      <c r="C77" s="34" t="s">
        <v>204</v>
      </c>
      <c r="D77" s="36">
        <v>0.24100000000000002</v>
      </c>
      <c r="E77" s="52">
        <f t="shared" si="53"/>
        <v>0.75900000000000001</v>
      </c>
      <c r="F77" s="36">
        <v>0.24030775678831243</v>
      </c>
      <c r="G77" s="36">
        <f t="shared" si="68"/>
        <v>6.9224321168759317E-4</v>
      </c>
      <c r="H77" s="52">
        <f t="shared" si="69"/>
        <v>-6.9224321168759317E-4</v>
      </c>
      <c r="L77" s="34" t="s">
        <v>129</v>
      </c>
      <c r="P77" s="34" t="s">
        <v>212</v>
      </c>
      <c r="Q77" s="34" t="s">
        <v>211</v>
      </c>
      <c r="R77" s="50" t="s">
        <v>210</v>
      </c>
      <c r="V77" s="34" t="s">
        <v>205</v>
      </c>
      <c r="AC77" s="34" t="s">
        <v>209</v>
      </c>
      <c r="AH77" s="36">
        <v>0.28499999999999998</v>
      </c>
      <c r="AI77" s="36">
        <v>0.30538044774593653</v>
      </c>
      <c r="AJ77" s="36">
        <v>0.30410778836674335</v>
      </c>
      <c r="AK77" s="36">
        <v>0.37959012154124644</v>
      </c>
      <c r="AL77" s="36">
        <v>0.377</v>
      </c>
      <c r="AM77" s="36">
        <v>0.34847354349312937</v>
      </c>
      <c r="AN77" s="36">
        <v>0.23471597059996582</v>
      </c>
      <c r="AO77" s="36">
        <v>0.24030775678831243</v>
      </c>
      <c r="AP77" s="36">
        <f t="shared" si="54"/>
        <v>5.5917861883466036E-3</v>
      </c>
      <c r="AQ77" s="36"/>
      <c r="AR77" s="36">
        <f t="shared" si="47"/>
        <v>0.71500000000000008</v>
      </c>
      <c r="AS77" s="36">
        <f t="shared" si="48"/>
        <v>0.69461955225406347</v>
      </c>
      <c r="AT77" s="36">
        <f t="shared" si="49"/>
        <v>0.69589221163325665</v>
      </c>
      <c r="AU77" s="36">
        <f t="shared" si="50"/>
        <v>0.62040987845875351</v>
      </c>
      <c r="AV77" s="36">
        <f t="shared" si="46"/>
        <v>0.623</v>
      </c>
      <c r="AW77" s="36">
        <f t="shared" si="65"/>
        <v>0.65152645650687058</v>
      </c>
      <c r="AX77" s="36">
        <f t="shared" si="66"/>
        <v>0.76528402940003415</v>
      </c>
      <c r="AY77" s="36">
        <f t="shared" si="67"/>
        <v>0.7596922432116876</v>
      </c>
      <c r="BA77" s="36">
        <f t="shared" si="55"/>
        <v>0.75900000000000001</v>
      </c>
      <c r="BB77" s="36">
        <v>0.24100000000000002</v>
      </c>
      <c r="BD77" s="36">
        <f t="shared" si="56"/>
        <v>0.68782303599033989</v>
      </c>
      <c r="BE77" s="36">
        <v>0.31217696400966016</v>
      </c>
      <c r="BH77" s="36">
        <v>0.34100000000000003</v>
      </c>
      <c r="BI77" s="36">
        <v>0.34200000000000003</v>
      </c>
      <c r="BJ77" s="36">
        <v>0.16400000000000003</v>
      </c>
      <c r="BL77" s="41">
        <v>1224.8800000000001</v>
      </c>
      <c r="BN77" s="40">
        <v>38.615099999999998</v>
      </c>
      <c r="BQ77" s="34" t="s">
        <v>208</v>
      </c>
      <c r="BR77" s="34" t="s">
        <v>48</v>
      </c>
      <c r="BS77" s="39">
        <v>0.21754740999445116</v>
      </c>
      <c r="BU77" s="51" t="s">
        <v>207</v>
      </c>
      <c r="CA77" t="s">
        <v>206</v>
      </c>
      <c r="CB77"/>
      <c r="CC77"/>
      <c r="CD77"/>
      <c r="CE77"/>
      <c r="CL77" s="34" t="s">
        <v>205</v>
      </c>
      <c r="CR77" s="34" t="s">
        <v>204</v>
      </c>
      <c r="CS77" s="34" t="s">
        <v>203</v>
      </c>
      <c r="CT77" s="34">
        <f t="shared" si="57"/>
        <v>1</v>
      </c>
      <c r="CU77" s="34">
        <f t="shared" si="58"/>
        <v>0</v>
      </c>
      <c r="CV77" s="34">
        <f t="shared" si="59"/>
        <v>0</v>
      </c>
      <c r="CW77" s="34">
        <f t="shared" si="60"/>
        <v>0</v>
      </c>
      <c r="CX77" s="38">
        <f t="shared" si="61"/>
        <v>-0.01</v>
      </c>
      <c r="CY77" s="36">
        <f t="shared" si="63"/>
        <v>0.28439420000000004</v>
      </c>
      <c r="CZ77" s="37">
        <f t="shared" si="62"/>
        <v>0</v>
      </c>
      <c r="DA77" s="34" t="str">
        <f t="shared" si="64"/>
        <v/>
      </c>
    </row>
    <row r="78" spans="1:105" s="34" customFormat="1" x14ac:dyDescent="0.25">
      <c r="A78" s="34" t="s">
        <v>49</v>
      </c>
      <c r="B78" s="36" t="s">
        <v>98</v>
      </c>
      <c r="C78" s="34" t="s">
        <v>136</v>
      </c>
      <c r="D78" s="36">
        <v>0.45100000000000001</v>
      </c>
      <c r="E78" s="52">
        <f t="shared" si="53"/>
        <v>0.54899999999999993</v>
      </c>
      <c r="F78" s="36">
        <v>0.4606201444421662</v>
      </c>
      <c r="G78" s="36">
        <f t="shared" si="68"/>
        <v>-9.6201444421661897E-3</v>
      </c>
      <c r="H78" s="52">
        <f t="shared" si="69"/>
        <v>9.6201444421661897E-3</v>
      </c>
      <c r="J78" s="34" t="s">
        <v>202</v>
      </c>
      <c r="L78" s="34" t="s">
        <v>129</v>
      </c>
      <c r="Q78" s="34" t="s">
        <v>201</v>
      </c>
      <c r="R78" s="34" t="s">
        <v>200</v>
      </c>
      <c r="V78" s="34" t="s">
        <v>198</v>
      </c>
      <c r="AH78" s="36">
        <v>0.45899999999999996</v>
      </c>
      <c r="AI78" s="36">
        <v>0.39068994181213634</v>
      </c>
      <c r="AJ78" s="36">
        <v>0.3976091807459356</v>
      </c>
      <c r="AK78" s="36">
        <v>0.45277352314022284</v>
      </c>
      <c r="AL78" s="36">
        <v>0.45299999999999996</v>
      </c>
      <c r="AM78" s="36">
        <v>0.55006779004454776</v>
      </c>
      <c r="AN78" s="36">
        <v>0.52275516465534877</v>
      </c>
      <c r="AO78" s="36">
        <v>0.4606201444421662</v>
      </c>
      <c r="AP78" s="36">
        <f t="shared" si="54"/>
        <v>-6.2135020213182568E-2</v>
      </c>
      <c r="AQ78" s="36"/>
      <c r="AR78" s="36">
        <f t="shared" si="47"/>
        <v>0.54100000000000004</v>
      </c>
      <c r="AS78" s="36">
        <f t="shared" si="48"/>
        <v>0.60931005818786366</v>
      </c>
      <c r="AT78" s="36">
        <f t="shared" si="49"/>
        <v>0.60239081925406435</v>
      </c>
      <c r="AU78" s="36">
        <f t="shared" si="50"/>
        <v>0.54722647685977721</v>
      </c>
      <c r="AV78" s="36">
        <f t="shared" si="46"/>
        <v>0.54700000000000004</v>
      </c>
      <c r="AW78" s="36">
        <f t="shared" si="65"/>
        <v>0.44993220995545224</v>
      </c>
      <c r="AX78" s="36">
        <f t="shared" si="66"/>
        <v>0.47724483534465123</v>
      </c>
      <c r="AY78" s="36">
        <f t="shared" si="67"/>
        <v>0.53937985555783374</v>
      </c>
      <c r="BA78" s="36">
        <f t="shared" si="55"/>
        <v>0.54899999999999993</v>
      </c>
      <c r="BB78" s="36">
        <v>0.45100000000000001</v>
      </c>
      <c r="BD78" s="36">
        <f t="shared" si="56"/>
        <v>0.53500375393249633</v>
      </c>
      <c r="BE78" s="36">
        <v>0.46499624606750367</v>
      </c>
      <c r="BH78" s="36">
        <v>0.53</v>
      </c>
      <c r="BI78" s="36">
        <v>0.39900000000000002</v>
      </c>
      <c r="BJ78" s="36">
        <v>9.099999999999997E-2</v>
      </c>
      <c r="BL78" s="41">
        <v>1637.81</v>
      </c>
      <c r="BN78" s="40">
        <v>39.110100000000003</v>
      </c>
      <c r="BQ78" s="34" t="s">
        <v>192</v>
      </c>
      <c r="BR78" s="34" t="s">
        <v>56</v>
      </c>
      <c r="BS78" s="39">
        <v>0.76772867420349433</v>
      </c>
      <c r="CA78" t="s">
        <v>199</v>
      </c>
      <c r="CB78"/>
      <c r="CC78"/>
      <c r="CD78"/>
      <c r="CE78"/>
      <c r="CL78" s="34" t="s">
        <v>198</v>
      </c>
      <c r="CR78" s="34" t="s">
        <v>136</v>
      </c>
      <c r="CS78" s="34" t="s">
        <v>197</v>
      </c>
      <c r="CT78" s="34">
        <f t="shared" si="57"/>
        <v>0</v>
      </c>
      <c r="CU78" s="34">
        <f t="shared" si="58"/>
        <v>1</v>
      </c>
      <c r="CV78" s="34">
        <f t="shared" si="59"/>
        <v>0</v>
      </c>
      <c r="CW78" s="34">
        <f t="shared" si="60"/>
        <v>0</v>
      </c>
      <c r="CX78" s="38">
        <f t="shared" si="61"/>
        <v>8.9999999999999993E-3</v>
      </c>
      <c r="CY78" s="36">
        <f t="shared" si="63"/>
        <v>0.47539420000000004</v>
      </c>
      <c r="CZ78" s="37">
        <f t="shared" si="62"/>
        <v>0.1462459597271647</v>
      </c>
      <c r="DA78" s="34" t="str">
        <f t="shared" si="64"/>
        <v/>
      </c>
    </row>
    <row r="79" spans="1:105" s="34" customFormat="1" x14ac:dyDescent="0.25">
      <c r="A79" s="34" t="s">
        <v>47</v>
      </c>
      <c r="B79" s="36" t="s">
        <v>98</v>
      </c>
      <c r="C79" s="34" t="s">
        <v>136</v>
      </c>
      <c r="D79" s="36">
        <v>0.38100000000000001</v>
      </c>
      <c r="E79" s="52">
        <f t="shared" si="53"/>
        <v>0.61899999999999999</v>
      </c>
      <c r="F79" s="36">
        <v>0.38097912093521874</v>
      </c>
      <c r="G79" s="36">
        <f t="shared" si="68"/>
        <v>2.0879064781265111E-5</v>
      </c>
      <c r="H79" s="52">
        <f t="shared" si="69"/>
        <v>-2.0879064781265111E-5</v>
      </c>
      <c r="J79" s="34" t="s">
        <v>196</v>
      </c>
      <c r="L79" s="34" t="s">
        <v>129</v>
      </c>
      <c r="Q79" s="34" t="s">
        <v>195</v>
      </c>
      <c r="R79" s="34" t="s">
        <v>194</v>
      </c>
      <c r="V79" s="51" t="s">
        <v>190</v>
      </c>
      <c r="AG79" s="34" t="s">
        <v>193</v>
      </c>
      <c r="AH79" s="36">
        <v>0.375</v>
      </c>
      <c r="AI79" s="36">
        <v>0.32912792506308114</v>
      </c>
      <c r="AJ79" s="36">
        <v>0.39405584543787903</v>
      </c>
      <c r="AK79" s="36">
        <v>0.45462548602450298</v>
      </c>
      <c r="AL79" s="36">
        <v>0.45100000000000001</v>
      </c>
      <c r="AM79" s="36">
        <v>0.49299999999999999</v>
      </c>
      <c r="AN79" s="36">
        <v>0.45994594594594596</v>
      </c>
      <c r="AO79" s="36">
        <v>0.38097912093521874</v>
      </c>
      <c r="AP79" s="36">
        <f t="shared" si="54"/>
        <v>-7.8966825010727215E-2</v>
      </c>
      <c r="AQ79" s="36"/>
      <c r="AR79" s="36">
        <f t="shared" si="47"/>
        <v>0.625</v>
      </c>
      <c r="AS79" s="36">
        <f t="shared" si="48"/>
        <v>0.67087207493691881</v>
      </c>
      <c r="AT79" s="36">
        <f t="shared" si="49"/>
        <v>0.60594415456212092</v>
      </c>
      <c r="AU79" s="36">
        <f t="shared" si="50"/>
        <v>0.54537451397549708</v>
      </c>
      <c r="AV79" s="36">
        <f t="shared" si="46"/>
        <v>0.54899999999999993</v>
      </c>
      <c r="AW79" s="36">
        <f t="shared" si="65"/>
        <v>0.50700000000000001</v>
      </c>
      <c r="AX79" s="36">
        <f t="shared" si="66"/>
        <v>0.54005405405405404</v>
      </c>
      <c r="AY79" s="36">
        <f t="shared" si="67"/>
        <v>0.61902087906478132</v>
      </c>
      <c r="BA79" s="36">
        <f t="shared" si="55"/>
        <v>0.61899999999999999</v>
      </c>
      <c r="BB79" s="36">
        <v>0.38100000000000001</v>
      </c>
      <c r="BD79" s="36">
        <f t="shared" si="56"/>
        <v>0.59144978230477507</v>
      </c>
      <c r="BE79" s="36">
        <v>0.40855021769522493</v>
      </c>
      <c r="BH79" s="36">
        <v>0.371</v>
      </c>
      <c r="BI79" s="36">
        <v>0.32800000000000001</v>
      </c>
      <c r="BJ79" s="36">
        <v>6.9999999999999951E-2</v>
      </c>
      <c r="BL79" s="41">
        <v>1295.3599999999999</v>
      </c>
      <c r="BN79" s="40">
        <v>40.028599999999997</v>
      </c>
      <c r="BQ79" s="34" t="s">
        <v>192</v>
      </c>
      <c r="BR79" s="34" t="s">
        <v>83</v>
      </c>
      <c r="BS79" s="39">
        <v>0.23227132579650564</v>
      </c>
      <c r="BU79" s="51"/>
      <c r="CA79" t="s">
        <v>191</v>
      </c>
      <c r="CB79"/>
      <c r="CC79"/>
      <c r="CD79"/>
      <c r="CE79"/>
      <c r="CL79" s="51" t="s">
        <v>190</v>
      </c>
      <c r="CR79" s="34" t="s">
        <v>136</v>
      </c>
      <c r="CS79" s="34" t="s">
        <v>155</v>
      </c>
      <c r="CT79" s="34">
        <f t="shared" si="57"/>
        <v>0</v>
      </c>
      <c r="CU79" s="34">
        <f t="shared" si="58"/>
        <v>0</v>
      </c>
      <c r="CV79" s="34">
        <f t="shared" si="59"/>
        <v>0</v>
      </c>
      <c r="CW79" s="34">
        <f t="shared" si="60"/>
        <v>0</v>
      </c>
      <c r="CX79" s="38">
        <f t="shared" si="61"/>
        <v>0</v>
      </c>
      <c r="CY79" s="36">
        <f t="shared" si="63"/>
        <v>0.41439420000000005</v>
      </c>
      <c r="CZ79" s="37">
        <f t="shared" si="62"/>
        <v>1.249625904921059E-4</v>
      </c>
      <c r="DA79" s="34" t="str">
        <f t="shared" si="64"/>
        <v/>
      </c>
    </row>
    <row r="80" spans="1:105" s="34" customFormat="1" x14ac:dyDescent="0.25">
      <c r="A80" s="34" t="s">
        <v>44</v>
      </c>
      <c r="B80" s="36" t="s">
        <v>141</v>
      </c>
      <c r="C80" s="34" t="s">
        <v>3</v>
      </c>
      <c r="D80" s="36">
        <v>0.64</v>
      </c>
      <c r="E80" s="42">
        <f t="shared" si="53"/>
        <v>0.36</v>
      </c>
      <c r="F80" s="36">
        <v>0.6435407394478867</v>
      </c>
      <c r="G80" s="36">
        <f t="shared" si="68"/>
        <v>-3.5407394478866872E-3</v>
      </c>
      <c r="H80" s="42">
        <f t="shared" si="69"/>
        <v>3.5407394478866872E-3</v>
      </c>
      <c r="J80" s="34" t="s">
        <v>129</v>
      </c>
      <c r="L80" s="34" t="s">
        <v>189</v>
      </c>
      <c r="O80" s="34" t="s">
        <v>188</v>
      </c>
      <c r="R80" s="34" t="s">
        <v>187</v>
      </c>
      <c r="AG80" s="34" t="s">
        <v>186</v>
      </c>
      <c r="AH80" s="36">
        <v>0.65099999999999991</v>
      </c>
      <c r="AI80" s="36">
        <v>0.63199266343508453</v>
      </c>
      <c r="AJ80" s="36">
        <v>0.69059823812885601</v>
      </c>
      <c r="AK80" s="36">
        <v>0.7014478134456773</v>
      </c>
      <c r="AL80" s="36">
        <v>0.70200000000000007</v>
      </c>
      <c r="AM80" s="36">
        <v>0.77295944959866569</v>
      </c>
      <c r="AN80" s="36">
        <v>0.74302325581395345</v>
      </c>
      <c r="AO80" s="36">
        <v>0.6435407394478867</v>
      </c>
      <c r="AP80" s="36">
        <f t="shared" si="54"/>
        <v>-9.9482516366066753E-2</v>
      </c>
      <c r="AQ80" s="36"/>
      <c r="AR80" s="36">
        <f t="shared" si="47"/>
        <v>0.34900000000000009</v>
      </c>
      <c r="AS80" s="36">
        <f t="shared" si="48"/>
        <v>0.36800733656491547</v>
      </c>
      <c r="AT80" s="36">
        <f t="shared" si="49"/>
        <v>0.30940176187114399</v>
      </c>
      <c r="AU80" s="36">
        <f t="shared" si="50"/>
        <v>0.2985521865543227</v>
      </c>
      <c r="AV80" s="36">
        <f t="shared" si="46"/>
        <v>0.29799999999999993</v>
      </c>
      <c r="AW80" s="36">
        <f t="shared" si="65"/>
        <v>0.22704055040133431</v>
      </c>
      <c r="AX80" s="36">
        <f t="shared" si="66"/>
        <v>0.25697674418604655</v>
      </c>
      <c r="AY80" s="36">
        <f t="shared" si="67"/>
        <v>0.3564592605521133</v>
      </c>
      <c r="BA80" s="36">
        <f t="shared" si="55"/>
        <v>0.36</v>
      </c>
      <c r="BB80" s="36">
        <v>0.64</v>
      </c>
      <c r="BD80" s="36">
        <f t="shared" si="56"/>
        <v>0.29064483758700022</v>
      </c>
      <c r="BE80" s="36">
        <v>0.70935516241299978</v>
      </c>
      <c r="BH80" s="36">
        <v>0.46899999999999997</v>
      </c>
      <c r="BI80" s="36">
        <v>0.28000000000000003</v>
      </c>
      <c r="BJ80" s="36">
        <v>0.68700000000000006</v>
      </c>
      <c r="BL80" s="41">
        <v>1054.29</v>
      </c>
      <c r="BN80" s="40">
        <v>36.1586</v>
      </c>
      <c r="BQ80" s="34" t="s">
        <v>182</v>
      </c>
      <c r="BR80" s="34" t="s">
        <v>89</v>
      </c>
      <c r="BS80" s="39">
        <v>0.75246842501337352</v>
      </c>
      <c r="CA80"/>
      <c r="CB80"/>
      <c r="CC80"/>
      <c r="CD80"/>
      <c r="CE80"/>
      <c r="CR80" s="34" t="s">
        <v>3</v>
      </c>
      <c r="CS80" s="34" t="s">
        <v>120</v>
      </c>
      <c r="CT80" s="34">
        <f t="shared" si="57"/>
        <v>1</v>
      </c>
      <c r="CU80" s="34">
        <f t="shared" si="58"/>
        <v>0</v>
      </c>
      <c r="CV80" s="34">
        <f t="shared" si="59"/>
        <v>0</v>
      </c>
      <c r="CW80" s="34">
        <f t="shared" si="60"/>
        <v>0</v>
      </c>
      <c r="CX80" s="38">
        <f t="shared" si="61"/>
        <v>-0.01</v>
      </c>
      <c r="CY80" s="36">
        <f t="shared" si="63"/>
        <v>0.66339420000000004</v>
      </c>
      <c r="CZ80" s="37">
        <f t="shared" si="62"/>
        <v>0.99999999999862788</v>
      </c>
      <c r="DA80" s="34" t="str">
        <f t="shared" si="64"/>
        <v/>
      </c>
    </row>
    <row r="81" spans="1:105" s="34" customFormat="1" x14ac:dyDescent="0.25">
      <c r="A81" s="34" t="s">
        <v>42</v>
      </c>
      <c r="B81" s="36" t="s">
        <v>141</v>
      </c>
      <c r="C81" s="34" t="s">
        <v>3</v>
      </c>
      <c r="D81" s="36">
        <v>0.56499999999999995</v>
      </c>
      <c r="E81" s="52">
        <f t="shared" si="53"/>
        <v>0.43500000000000005</v>
      </c>
      <c r="F81" s="36"/>
      <c r="G81" s="36"/>
      <c r="H81" s="52"/>
      <c r="J81" s="34" t="s">
        <v>129</v>
      </c>
      <c r="O81" s="34" t="s">
        <v>185</v>
      </c>
      <c r="Q81" s="34" t="s">
        <v>184</v>
      </c>
      <c r="R81" s="50" t="s">
        <v>183</v>
      </c>
      <c r="U81" s="34" t="s">
        <v>180</v>
      </c>
      <c r="AG81" s="34" t="s">
        <v>144</v>
      </c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BA81" s="36">
        <f t="shared" si="55"/>
        <v>0.43500000000000005</v>
      </c>
      <c r="BB81" s="36">
        <v>0.56499999999999995</v>
      </c>
      <c r="BD81" s="36">
        <f t="shared" si="56"/>
        <v>0.45991662328657035</v>
      </c>
      <c r="BE81" s="36">
        <v>0.54008337671342965</v>
      </c>
      <c r="BH81" s="36">
        <v>0.46700000000000003</v>
      </c>
      <c r="BI81" s="36">
        <v>0.44700000000000001</v>
      </c>
      <c r="BJ81" s="36">
        <v>0.20599999999999996</v>
      </c>
      <c r="BL81" s="41">
        <v>1581.45</v>
      </c>
      <c r="BN81" s="40">
        <v>38.0794</v>
      </c>
      <c r="BQ81" s="34" t="s">
        <v>182</v>
      </c>
      <c r="BR81" s="34" t="s">
        <v>83</v>
      </c>
      <c r="BS81" s="39">
        <v>0.24753157498662653</v>
      </c>
      <c r="CA81" t="s">
        <v>181</v>
      </c>
      <c r="CB81"/>
      <c r="CC81"/>
      <c r="CD81"/>
      <c r="CE81"/>
      <c r="CK81" s="34" t="s">
        <v>180</v>
      </c>
      <c r="CR81" s="34" t="s">
        <v>3</v>
      </c>
      <c r="CS81" s="34" t="s">
        <v>120</v>
      </c>
      <c r="CT81" s="34">
        <f t="shared" si="57"/>
        <v>1</v>
      </c>
      <c r="CU81" s="34">
        <f t="shared" si="58"/>
        <v>0</v>
      </c>
      <c r="CV81" s="34">
        <f t="shared" si="59"/>
        <v>0</v>
      </c>
      <c r="CW81" s="34">
        <f t="shared" si="60"/>
        <v>0</v>
      </c>
      <c r="CX81" s="38">
        <f t="shared" si="61"/>
        <v>-0.01</v>
      </c>
      <c r="CY81" s="36">
        <f t="shared" si="63"/>
        <v>0.58839419999999998</v>
      </c>
      <c r="CZ81" s="37">
        <f t="shared" si="62"/>
        <v>0.99992209704524593</v>
      </c>
      <c r="DA81" s="34" t="str">
        <f t="shared" si="64"/>
        <v/>
      </c>
    </row>
    <row r="82" spans="1:105" s="34" customFormat="1" x14ac:dyDescent="0.25">
      <c r="A82" s="34" t="s">
        <v>40</v>
      </c>
      <c r="B82" s="36" t="s">
        <v>141</v>
      </c>
      <c r="C82" s="34" t="s">
        <v>3</v>
      </c>
      <c r="D82" s="36">
        <v>0.61499999999999999</v>
      </c>
      <c r="E82" s="42">
        <f t="shared" si="53"/>
        <v>0.38500000000000001</v>
      </c>
      <c r="F82" s="36">
        <v>0.60333934038256942</v>
      </c>
      <c r="G82" s="36">
        <f>D82-F82</f>
        <v>1.1660659617430569E-2</v>
      </c>
      <c r="H82" s="42">
        <f>0-G82</f>
        <v>-1.1660659617430569E-2</v>
      </c>
      <c r="J82" s="34" t="s">
        <v>129</v>
      </c>
      <c r="L82" s="34" t="s">
        <v>179</v>
      </c>
      <c r="O82" s="50" t="s">
        <v>178</v>
      </c>
      <c r="R82" s="34" t="s">
        <v>177</v>
      </c>
      <c r="S82" s="34" t="s">
        <v>174</v>
      </c>
      <c r="AG82" s="34" t="s">
        <v>176</v>
      </c>
      <c r="AH82" s="36">
        <v>0.60499999999999998</v>
      </c>
      <c r="AI82" s="36">
        <v>0.58836016852281259</v>
      </c>
      <c r="AJ82" s="36">
        <v>0.6154248366013072</v>
      </c>
      <c r="AK82" s="36">
        <v>0.61814312736443888</v>
      </c>
      <c r="AL82" s="36">
        <v>0.57399999999999995</v>
      </c>
      <c r="AM82" s="36">
        <v>0.68029213937241995</v>
      </c>
      <c r="AN82" s="36">
        <v>0.69413711350390206</v>
      </c>
      <c r="AO82" s="36">
        <v>0.60333934038256942</v>
      </c>
      <c r="AP82" s="36">
        <f>AO82-AN82</f>
        <v>-9.0797773121332637E-2</v>
      </c>
      <c r="AQ82" s="36"/>
      <c r="AR82" s="36">
        <f t="shared" ref="AR82:AY86" si="70">1-AH82</f>
        <v>0.39500000000000002</v>
      </c>
      <c r="AS82" s="36">
        <f t="shared" si="70"/>
        <v>0.41163983147718741</v>
      </c>
      <c r="AT82" s="36">
        <f t="shared" si="70"/>
        <v>0.3845751633986928</v>
      </c>
      <c r="AU82" s="36">
        <f t="shared" si="70"/>
        <v>0.38185687263556112</v>
      </c>
      <c r="AV82" s="36">
        <f t="shared" si="70"/>
        <v>0.42600000000000005</v>
      </c>
      <c r="AW82" s="36">
        <f t="shared" si="70"/>
        <v>0.31970786062758005</v>
      </c>
      <c r="AX82" s="36">
        <f t="shared" si="70"/>
        <v>0.30586288649609794</v>
      </c>
      <c r="AY82" s="36">
        <f t="shared" si="70"/>
        <v>0.39666065961743058</v>
      </c>
      <c r="BA82" s="36">
        <f t="shared" si="55"/>
        <v>0.38500000000000001</v>
      </c>
      <c r="BB82" s="36">
        <v>0.61499999999999999</v>
      </c>
      <c r="BD82" s="36">
        <f t="shared" si="56"/>
        <v>0.37971512483881797</v>
      </c>
      <c r="BE82" s="36">
        <v>0.62028487516118203</v>
      </c>
      <c r="BH82" s="36">
        <v>0.57099999999999995</v>
      </c>
      <c r="BI82" s="36">
        <v>0.54</v>
      </c>
      <c r="BJ82" s="36">
        <v>0.46899999999999997</v>
      </c>
      <c r="BL82" s="41">
        <v>1622.55</v>
      </c>
      <c r="BN82" s="40">
        <v>33.142099999999999</v>
      </c>
      <c r="BQ82" s="34" t="s">
        <v>169</v>
      </c>
      <c r="BR82" s="34" t="s">
        <v>79</v>
      </c>
      <c r="BS82" s="39">
        <v>0.64541438853365463</v>
      </c>
      <c r="CA82" t="s">
        <v>175</v>
      </c>
      <c r="CB82"/>
      <c r="CC82"/>
      <c r="CD82"/>
      <c r="CE82"/>
      <c r="CI82" s="34" t="s">
        <v>174</v>
      </c>
      <c r="CR82" s="34" t="s">
        <v>3</v>
      </c>
      <c r="CS82" s="34" t="s">
        <v>131</v>
      </c>
      <c r="CT82" s="34">
        <f t="shared" si="57"/>
        <v>0</v>
      </c>
      <c r="CU82" s="34">
        <f t="shared" si="58"/>
        <v>0</v>
      </c>
      <c r="CV82" s="34">
        <f t="shared" si="59"/>
        <v>0</v>
      </c>
      <c r="CW82" s="34">
        <f t="shared" si="60"/>
        <v>0</v>
      </c>
      <c r="CX82" s="38">
        <f t="shared" si="61"/>
        <v>0</v>
      </c>
      <c r="CY82" s="36">
        <f t="shared" si="63"/>
        <v>0.64839420000000003</v>
      </c>
      <c r="CZ82" s="37">
        <f t="shared" si="62"/>
        <v>0.99999999989129673</v>
      </c>
      <c r="DA82" s="34" t="str">
        <f t="shared" si="64"/>
        <v/>
      </c>
    </row>
    <row r="83" spans="1:105" s="34" customFormat="1" x14ac:dyDescent="0.25">
      <c r="A83" s="34" t="s">
        <v>39</v>
      </c>
      <c r="B83" s="36" t="s">
        <v>141</v>
      </c>
      <c r="C83" s="34" t="s">
        <v>3</v>
      </c>
      <c r="D83" s="36">
        <v>0.61</v>
      </c>
      <c r="E83" s="42">
        <f t="shared" si="53"/>
        <v>0.39</v>
      </c>
      <c r="F83" s="36">
        <v>0.61130116504389842</v>
      </c>
      <c r="G83" s="36">
        <f>D83-F83</f>
        <v>-1.3011650438984335E-3</v>
      </c>
      <c r="H83" s="42">
        <f>0-G83</f>
        <v>1.3011650438984335E-3</v>
      </c>
      <c r="J83" s="34" t="s">
        <v>129</v>
      </c>
      <c r="L83" s="34" t="s">
        <v>173</v>
      </c>
      <c r="O83" s="50" t="s">
        <v>172</v>
      </c>
      <c r="R83" s="34" t="s">
        <v>171</v>
      </c>
      <c r="S83" s="34" t="s">
        <v>165</v>
      </c>
      <c r="T83" s="34" t="s">
        <v>164</v>
      </c>
      <c r="U83" s="34" t="s">
        <v>163</v>
      </c>
      <c r="AG83" s="34" t="s">
        <v>170</v>
      </c>
      <c r="AH83" s="36">
        <v>0.6</v>
      </c>
      <c r="AI83" s="36">
        <v>0.58177241672387303</v>
      </c>
      <c r="AJ83" s="36">
        <v>0.5075669712313654</v>
      </c>
      <c r="AK83" s="36">
        <v>0.61468560685189055</v>
      </c>
      <c r="AL83" s="36">
        <v>0.60599999999999998</v>
      </c>
      <c r="AM83" s="36">
        <v>0.67400340919285862</v>
      </c>
      <c r="AN83" s="36">
        <v>0.6246655381423033</v>
      </c>
      <c r="AO83" s="36">
        <v>0.61130116504389842</v>
      </c>
      <c r="AP83" s="36">
        <f>AO83-AN83</f>
        <v>-1.336437309840488E-2</v>
      </c>
      <c r="AQ83" s="36"/>
      <c r="AR83" s="36">
        <f t="shared" si="70"/>
        <v>0.4</v>
      </c>
      <c r="AS83" s="36">
        <f t="shared" si="70"/>
        <v>0.41822758327612697</v>
      </c>
      <c r="AT83" s="36">
        <f t="shared" si="70"/>
        <v>0.4924330287686346</v>
      </c>
      <c r="AU83" s="36">
        <f t="shared" si="70"/>
        <v>0.38531439314810945</v>
      </c>
      <c r="AV83" s="36">
        <f t="shared" si="70"/>
        <v>0.39400000000000002</v>
      </c>
      <c r="AW83" s="36">
        <f t="shared" si="70"/>
        <v>0.32599659080714138</v>
      </c>
      <c r="AX83" s="36">
        <f t="shared" si="70"/>
        <v>0.3753344618576967</v>
      </c>
      <c r="AY83" s="36">
        <f t="shared" si="70"/>
        <v>0.38869883495610158</v>
      </c>
      <c r="BA83" s="36">
        <f t="shared" si="55"/>
        <v>0.39</v>
      </c>
      <c r="BB83" s="36">
        <v>0.61</v>
      </c>
      <c r="BD83" s="36">
        <f t="shared" si="56"/>
        <v>0.36553444138626756</v>
      </c>
      <c r="BE83" s="36">
        <v>0.63446555861373244</v>
      </c>
      <c r="BH83" s="36">
        <v>0.53900000000000003</v>
      </c>
      <c r="BI83" s="36">
        <v>0.52100000000000002</v>
      </c>
      <c r="BJ83" s="36">
        <v>0.40500000000000003</v>
      </c>
      <c r="BL83" s="41">
        <v>1526.11</v>
      </c>
      <c r="BN83" s="40">
        <v>32.008699999999997</v>
      </c>
      <c r="BQ83" s="34" t="s">
        <v>169</v>
      </c>
      <c r="BR83" s="34" t="s">
        <v>91</v>
      </c>
      <c r="BS83" s="39">
        <v>0.35458561146634543</v>
      </c>
      <c r="CA83" t="s">
        <v>168</v>
      </c>
      <c r="CB83" t="s">
        <v>167</v>
      </c>
      <c r="CC83" t="s">
        <v>166</v>
      </c>
      <c r="CD83"/>
      <c r="CE83"/>
      <c r="CI83" s="34" t="s">
        <v>165</v>
      </c>
      <c r="CJ83" s="34" t="s">
        <v>164</v>
      </c>
      <c r="CK83" s="34" t="s">
        <v>163</v>
      </c>
      <c r="CR83" s="34" t="s">
        <v>3</v>
      </c>
      <c r="CS83" s="34" t="s">
        <v>120</v>
      </c>
      <c r="CT83" s="34">
        <f t="shared" si="57"/>
        <v>1</v>
      </c>
      <c r="CU83" s="34">
        <f t="shared" si="58"/>
        <v>0</v>
      </c>
      <c r="CV83" s="34">
        <f t="shared" si="59"/>
        <v>0</v>
      </c>
      <c r="CW83" s="34">
        <f t="shared" si="60"/>
        <v>0</v>
      </c>
      <c r="CX83" s="38">
        <f t="shared" si="61"/>
        <v>-0.01</v>
      </c>
      <c r="CY83" s="36">
        <f t="shared" si="63"/>
        <v>0.63339420000000002</v>
      </c>
      <c r="CZ83" s="37">
        <f t="shared" si="62"/>
        <v>0.99999999424371977</v>
      </c>
      <c r="DA83" s="34" t="str">
        <f t="shared" si="64"/>
        <v/>
      </c>
    </row>
    <row r="84" spans="1:105" s="34" customFormat="1" x14ac:dyDescent="0.25">
      <c r="A84" s="34" t="s">
        <v>38</v>
      </c>
      <c r="B84" s="36" t="s">
        <v>130</v>
      </c>
      <c r="C84" s="34" t="s">
        <v>3</v>
      </c>
      <c r="D84" s="36">
        <v>0.71599999999999997</v>
      </c>
      <c r="E84" s="42">
        <f t="shared" si="53"/>
        <v>0.28400000000000003</v>
      </c>
      <c r="F84" s="36">
        <v>0.70185781205187847</v>
      </c>
      <c r="G84" s="36">
        <f>D84-F84</f>
        <v>1.4142187948121498E-2</v>
      </c>
      <c r="H84" s="42">
        <f>0-G84</f>
        <v>-1.4142187948121498E-2</v>
      </c>
      <c r="J84" s="34" t="s">
        <v>129</v>
      </c>
      <c r="L84" s="34" t="s">
        <v>162</v>
      </c>
      <c r="O84" s="50" t="s">
        <v>161</v>
      </c>
      <c r="R84" s="34" t="s">
        <v>160</v>
      </c>
      <c r="AH84" s="36">
        <v>0.69099999999999995</v>
      </c>
      <c r="AI84" s="36">
        <v>0.69777577916911693</v>
      </c>
      <c r="AJ84" s="36">
        <v>0.71974217428762888</v>
      </c>
      <c r="AK84" s="36">
        <v>0.73944220579369868</v>
      </c>
      <c r="AL84" s="36">
        <v>0.7390000000000001</v>
      </c>
      <c r="AM84" s="36">
        <v>0.8170913203952852</v>
      </c>
      <c r="AN84" s="36">
        <v>0.81072717895822588</v>
      </c>
      <c r="AO84" s="36">
        <v>0.70185781205187847</v>
      </c>
      <c r="AP84" s="36">
        <f>AO84-AN84</f>
        <v>-0.10886936690634741</v>
      </c>
      <c r="AQ84" s="36"/>
      <c r="AR84" s="36">
        <f t="shared" si="70"/>
        <v>0.30900000000000005</v>
      </c>
      <c r="AS84" s="36">
        <f t="shared" si="70"/>
        <v>0.30222422083088307</v>
      </c>
      <c r="AT84" s="36">
        <f t="shared" si="70"/>
        <v>0.28025782571237112</v>
      </c>
      <c r="AU84" s="36">
        <f t="shared" si="70"/>
        <v>0.26055779420630132</v>
      </c>
      <c r="AV84" s="36">
        <f t="shared" si="70"/>
        <v>0.2609999999999999</v>
      </c>
      <c r="AW84" s="36">
        <f t="shared" si="70"/>
        <v>0.1829086796047148</v>
      </c>
      <c r="AX84" s="36">
        <f t="shared" si="70"/>
        <v>0.18927282104177412</v>
      </c>
      <c r="AY84" s="36">
        <f t="shared" si="70"/>
        <v>0.29814218794812153</v>
      </c>
      <c r="BA84" s="36">
        <f t="shared" si="55"/>
        <v>0.28400000000000003</v>
      </c>
      <c r="BB84" s="36">
        <v>0.71599999999999997</v>
      </c>
      <c r="BD84" s="36">
        <f t="shared" si="56"/>
        <v>0.26013737367897494</v>
      </c>
      <c r="BE84" s="36">
        <v>0.73986262632102506</v>
      </c>
      <c r="BH84" s="36">
        <v>0.44400000000000001</v>
      </c>
      <c r="BI84" s="36">
        <v>0.29699999999999999</v>
      </c>
      <c r="BJ84" s="36">
        <v>0.69</v>
      </c>
      <c r="BL84" s="41">
        <v>1076.77</v>
      </c>
      <c r="BN84" s="40">
        <v>37.780299999999997</v>
      </c>
      <c r="BQ84" s="34" t="s">
        <v>156</v>
      </c>
      <c r="BR84" s="34" t="s">
        <v>142</v>
      </c>
      <c r="BS84" s="39">
        <v>0.87836894752583827</v>
      </c>
      <c r="CA84"/>
      <c r="CB84"/>
      <c r="CC84"/>
      <c r="CD84"/>
      <c r="CE84"/>
      <c r="CR84" s="34" t="s">
        <v>3</v>
      </c>
      <c r="CS84" s="34" t="s">
        <v>148</v>
      </c>
      <c r="CT84" s="34">
        <f t="shared" si="57"/>
        <v>0</v>
      </c>
      <c r="CU84" s="34">
        <f t="shared" si="58"/>
        <v>0</v>
      </c>
      <c r="CV84" s="34">
        <f t="shared" si="59"/>
        <v>1</v>
      </c>
      <c r="CW84" s="34">
        <f t="shared" si="60"/>
        <v>0</v>
      </c>
      <c r="CX84" s="38">
        <f t="shared" si="61"/>
        <v>5.0000000000000001E-3</v>
      </c>
      <c r="CY84" s="36">
        <f t="shared" si="63"/>
        <v>0.75439420000000001</v>
      </c>
      <c r="CZ84" s="37">
        <f t="shared" si="62"/>
        <v>1</v>
      </c>
      <c r="DA84" s="34" t="str">
        <f t="shared" si="64"/>
        <v/>
      </c>
    </row>
    <row r="85" spans="1:105" s="34" customFormat="1" x14ac:dyDescent="0.25">
      <c r="A85" s="34" t="s">
        <v>35</v>
      </c>
      <c r="B85" s="36" t="s">
        <v>94</v>
      </c>
      <c r="C85" s="34" t="s">
        <v>136</v>
      </c>
      <c r="D85" s="36">
        <v>0.32799999999999996</v>
      </c>
      <c r="E85" s="52">
        <f t="shared" si="53"/>
        <v>0.67200000000000004</v>
      </c>
      <c r="F85" s="36">
        <v>0.36128503870439355</v>
      </c>
      <c r="G85" s="36">
        <f>D85-F85</f>
        <v>-3.3285038704393588E-2</v>
      </c>
      <c r="H85" s="52">
        <f>0-G85</f>
        <v>3.3285038704393588E-2</v>
      </c>
      <c r="J85" s="34" t="s">
        <v>159</v>
      </c>
      <c r="L85" s="34" t="s">
        <v>129</v>
      </c>
      <c r="Q85" s="34" t="s">
        <v>158</v>
      </c>
      <c r="R85" s="34" t="s">
        <v>157</v>
      </c>
      <c r="AH85" s="36">
        <v>0.47899999999999998</v>
      </c>
      <c r="AI85" s="36">
        <v>0.33185314685314687</v>
      </c>
      <c r="AJ85" s="36">
        <v>0.36001175548589343</v>
      </c>
      <c r="AK85" s="36">
        <v>0.3653615408904326</v>
      </c>
      <c r="AL85" s="36">
        <v>0.36</v>
      </c>
      <c r="AM85" s="36">
        <v>0.43644245560061529</v>
      </c>
      <c r="AN85" s="36">
        <v>0.41006914553886314</v>
      </c>
      <c r="AO85" s="36">
        <v>0.36128503870439355</v>
      </c>
      <c r="AP85" s="36">
        <f>AO85-AN85</f>
        <v>-4.8784106834469598E-2</v>
      </c>
      <c r="AQ85" s="36"/>
      <c r="AR85" s="36">
        <f t="shared" si="70"/>
        <v>0.52100000000000002</v>
      </c>
      <c r="AS85" s="36">
        <f t="shared" si="70"/>
        <v>0.66814685314685307</v>
      </c>
      <c r="AT85" s="36">
        <f t="shared" si="70"/>
        <v>0.63998824451410652</v>
      </c>
      <c r="AU85" s="36">
        <f t="shared" si="70"/>
        <v>0.6346384591095674</v>
      </c>
      <c r="AV85" s="36">
        <f t="shared" si="70"/>
        <v>0.64</v>
      </c>
      <c r="AW85" s="36">
        <f t="shared" si="70"/>
        <v>0.56355754439938477</v>
      </c>
      <c r="AX85" s="36">
        <f t="shared" si="70"/>
        <v>0.5899308544611368</v>
      </c>
      <c r="AY85" s="36">
        <f t="shared" si="70"/>
        <v>0.63871496129560645</v>
      </c>
      <c r="BA85" s="36">
        <f t="shared" si="55"/>
        <v>0.67200000000000004</v>
      </c>
      <c r="BB85" s="36">
        <v>0.32799999999999996</v>
      </c>
      <c r="BD85" s="36">
        <f t="shared" si="56"/>
        <v>0.64153080904983528</v>
      </c>
      <c r="BE85" s="36">
        <v>0.35846919095016477</v>
      </c>
      <c r="BH85" s="36">
        <v>0.63600000000000001</v>
      </c>
      <c r="BI85" s="36">
        <v>0.38100000000000001</v>
      </c>
      <c r="BJ85" s="36">
        <v>0.31499999999999995</v>
      </c>
      <c r="BL85" s="41">
        <v>1894.31</v>
      </c>
      <c r="BN85" s="40">
        <v>40.953299999999999</v>
      </c>
      <c r="BQ85" s="34" t="s">
        <v>156</v>
      </c>
      <c r="BR85" s="34" t="s">
        <v>69</v>
      </c>
      <c r="BS85" s="39">
        <v>0.12163105247416171</v>
      </c>
      <c r="CA85"/>
      <c r="CB85"/>
      <c r="CC85"/>
      <c r="CD85"/>
      <c r="CE85"/>
      <c r="CR85" s="34" t="s">
        <v>136</v>
      </c>
      <c r="CS85" s="34" t="s">
        <v>155</v>
      </c>
      <c r="CT85" s="34">
        <f t="shared" si="57"/>
        <v>0</v>
      </c>
      <c r="CU85" s="34">
        <f t="shared" si="58"/>
        <v>0</v>
      </c>
      <c r="CV85" s="34">
        <f t="shared" si="59"/>
        <v>0</v>
      </c>
      <c r="CW85" s="34">
        <f t="shared" si="60"/>
        <v>0</v>
      </c>
      <c r="CX85" s="38">
        <f t="shared" si="61"/>
        <v>0</v>
      </c>
      <c r="CY85" s="36">
        <f t="shared" si="63"/>
        <v>0.3613942</v>
      </c>
      <c r="CZ85" s="37">
        <f t="shared" si="62"/>
        <v>1.5169704381534643E-9</v>
      </c>
      <c r="DA85" s="34" t="str">
        <f t="shared" si="64"/>
        <v/>
      </c>
    </row>
    <row r="86" spans="1:105" s="34" customFormat="1" x14ac:dyDescent="0.25">
      <c r="A86" s="34" t="s">
        <v>33</v>
      </c>
      <c r="B86" s="36" t="s">
        <v>98</v>
      </c>
      <c r="C86" s="34" t="s">
        <v>136</v>
      </c>
      <c r="D86" s="36">
        <v>0.499</v>
      </c>
      <c r="E86" s="52">
        <f t="shared" si="53"/>
        <v>0.501</v>
      </c>
      <c r="F86" s="36">
        <v>0.51053976769491616</v>
      </c>
      <c r="G86" s="36">
        <f>D86-F86</f>
        <v>-1.1539767694916159E-2</v>
      </c>
      <c r="H86" s="52">
        <f>0-G86</f>
        <v>1.1539767694916159E-2</v>
      </c>
      <c r="L86" s="34" t="s">
        <v>154</v>
      </c>
      <c r="O86" s="34" t="s">
        <v>153</v>
      </c>
      <c r="R86" s="34" t="s">
        <v>152</v>
      </c>
      <c r="Z86" s="51" t="s">
        <v>149</v>
      </c>
      <c r="AG86" s="34" t="s">
        <v>151</v>
      </c>
      <c r="AH86" s="36">
        <v>0.48299999999999998</v>
      </c>
      <c r="AI86" s="36">
        <v>0.47226646354130603</v>
      </c>
      <c r="AJ86" s="36">
        <v>0.48590649175916584</v>
      </c>
      <c r="AK86" s="36">
        <v>0.51013569011400595</v>
      </c>
      <c r="AL86" s="36">
        <v>0.51500000000000001</v>
      </c>
      <c r="AM86" s="36">
        <v>0.58999263361798493</v>
      </c>
      <c r="AN86" s="36">
        <v>0.56536072362685263</v>
      </c>
      <c r="AO86" s="36">
        <v>0.51053976769491616</v>
      </c>
      <c r="AP86" s="36">
        <f>AO86-AN86</f>
        <v>-5.4820955931936477E-2</v>
      </c>
      <c r="AQ86" s="36"/>
      <c r="AR86" s="36">
        <f t="shared" si="70"/>
        <v>0.51700000000000002</v>
      </c>
      <c r="AS86" s="36">
        <f t="shared" si="70"/>
        <v>0.52773353645869392</v>
      </c>
      <c r="AT86" s="36">
        <f t="shared" si="70"/>
        <v>0.51409350824083422</v>
      </c>
      <c r="AU86" s="36">
        <f t="shared" si="70"/>
        <v>0.48986430988599405</v>
      </c>
      <c r="AV86" s="36">
        <f t="shared" si="70"/>
        <v>0.48499999999999999</v>
      </c>
      <c r="AW86" s="36">
        <f t="shared" si="70"/>
        <v>0.41000736638201507</v>
      </c>
      <c r="AX86" s="36">
        <f t="shared" si="70"/>
        <v>0.43463927637314737</v>
      </c>
      <c r="AY86" s="36">
        <f t="shared" si="70"/>
        <v>0.48946023230508384</v>
      </c>
      <c r="BA86" s="36">
        <f t="shared" si="55"/>
        <v>0.501</v>
      </c>
      <c r="BB86" s="36">
        <v>0.499</v>
      </c>
      <c r="BD86" s="36">
        <f t="shared" si="56"/>
        <v>0.47626564374492419</v>
      </c>
      <c r="BE86" s="36">
        <v>0.52373435625507581</v>
      </c>
      <c r="BH86" s="36">
        <v>0.44</v>
      </c>
      <c r="BI86" s="36">
        <v>0.318</v>
      </c>
      <c r="BJ86" s="36">
        <v>8.3999999999999964E-2</v>
      </c>
      <c r="BL86" s="41">
        <v>1355.73</v>
      </c>
      <c r="BN86" s="40">
        <v>38.475900000000003</v>
      </c>
      <c r="BQ86" s="34" t="s">
        <v>150</v>
      </c>
      <c r="BR86" s="34" t="s">
        <v>34</v>
      </c>
      <c r="BS86" s="39">
        <v>1</v>
      </c>
      <c r="CA86" t="s">
        <v>149</v>
      </c>
      <c r="CB86"/>
      <c r="CC86"/>
      <c r="CD86"/>
      <c r="CE86"/>
      <c r="CP86" s="51" t="s">
        <v>149</v>
      </c>
      <c r="CR86" s="34" t="s">
        <v>3</v>
      </c>
      <c r="CS86" s="34" t="s">
        <v>148</v>
      </c>
      <c r="CT86" s="34">
        <f t="shared" si="57"/>
        <v>0</v>
      </c>
      <c r="CU86" s="34">
        <f t="shared" si="58"/>
        <v>0</v>
      </c>
      <c r="CV86" s="34">
        <f t="shared" si="59"/>
        <v>1</v>
      </c>
      <c r="CW86" s="34">
        <f t="shared" si="60"/>
        <v>1</v>
      </c>
      <c r="CX86" s="38">
        <f t="shared" si="61"/>
        <v>1.3000000000000001E-2</v>
      </c>
      <c r="CY86" s="36">
        <f t="shared" si="63"/>
        <v>0.54539420000000005</v>
      </c>
      <c r="CZ86" s="37">
        <f t="shared" si="62"/>
        <v>0.97393312972832424</v>
      </c>
      <c r="DA86" s="34" t="str">
        <f t="shared" si="64"/>
        <v>ALP GAIN</v>
      </c>
    </row>
    <row r="87" spans="1:105" s="44" customFormat="1" x14ac:dyDescent="0.25">
      <c r="A87" s="44" t="s">
        <v>31</v>
      </c>
      <c r="B87" s="48" t="s">
        <v>141</v>
      </c>
      <c r="C87" s="44" t="s">
        <v>3</v>
      </c>
      <c r="D87" s="48">
        <v>0.61399999999999999</v>
      </c>
      <c r="E87" s="42">
        <f t="shared" si="53"/>
        <v>0.38600000000000001</v>
      </c>
      <c r="F87" s="48"/>
      <c r="G87" s="48"/>
      <c r="H87" s="42"/>
      <c r="J87" s="44" t="s">
        <v>129</v>
      </c>
      <c r="L87" s="44" t="s">
        <v>147</v>
      </c>
      <c r="O87" s="50" t="s">
        <v>146</v>
      </c>
      <c r="R87" s="44" t="s">
        <v>145</v>
      </c>
      <c r="AG87" s="44" t="s">
        <v>144</v>
      </c>
      <c r="AH87" s="48">
        <v>0.6</v>
      </c>
      <c r="AI87" s="48"/>
      <c r="AJ87" s="48"/>
      <c r="AK87" s="48"/>
      <c r="AL87" s="48"/>
      <c r="AM87" s="48"/>
      <c r="AN87" s="48"/>
      <c r="AO87" s="48"/>
      <c r="AP87" s="49"/>
      <c r="AQ87" s="36"/>
      <c r="AR87" s="48">
        <f t="shared" ref="AR87:AR95" si="71">1-AH87</f>
        <v>0.4</v>
      </c>
      <c r="AS87" s="48"/>
      <c r="AT87" s="48"/>
      <c r="AU87" s="48"/>
      <c r="AV87" s="48"/>
      <c r="AW87" s="48"/>
      <c r="AX87" s="48"/>
      <c r="AY87" s="48"/>
      <c r="BA87" s="48">
        <f t="shared" si="55"/>
        <v>0.38600000000000001</v>
      </c>
      <c r="BB87" s="48">
        <v>0.61399999999999999</v>
      </c>
      <c r="BD87" s="48">
        <f t="shared" si="56"/>
        <v>0.37984128572385745</v>
      </c>
      <c r="BE87" s="48">
        <v>0.62015871427614255</v>
      </c>
      <c r="BH87" s="48">
        <v>0.434</v>
      </c>
      <c r="BI87" s="48">
        <v>0.435</v>
      </c>
      <c r="BJ87" s="48">
        <v>0.26800000000000002</v>
      </c>
      <c r="BL87" s="47">
        <v>1358.18</v>
      </c>
      <c r="BN87" s="46">
        <v>35.385899999999999</v>
      </c>
      <c r="BQ87" s="44" t="s">
        <v>143</v>
      </c>
      <c r="BR87" s="44" t="s">
        <v>142</v>
      </c>
      <c r="BS87" s="45">
        <v>1</v>
      </c>
      <c r="CA87"/>
      <c r="CB87"/>
      <c r="CC87"/>
      <c r="CD87"/>
      <c r="CE87"/>
      <c r="CR87" s="44" t="s">
        <v>3</v>
      </c>
      <c r="CS87" s="44" t="s">
        <v>120</v>
      </c>
      <c r="CT87" s="34">
        <f t="shared" si="57"/>
        <v>1</v>
      </c>
      <c r="CU87" s="34">
        <f t="shared" si="58"/>
        <v>0</v>
      </c>
      <c r="CV87" s="34">
        <f t="shared" si="59"/>
        <v>0</v>
      </c>
      <c r="CW87" s="34">
        <f t="shared" si="60"/>
        <v>0</v>
      </c>
      <c r="CX87" s="38">
        <f t="shared" si="61"/>
        <v>-0.01</v>
      </c>
      <c r="CY87" s="36">
        <f t="shared" si="63"/>
        <v>0.63739420000000002</v>
      </c>
      <c r="CZ87" s="37">
        <f t="shared" si="62"/>
        <v>0.999999997922697</v>
      </c>
      <c r="DA87" s="34" t="str">
        <f t="shared" si="64"/>
        <v/>
      </c>
    </row>
    <row r="88" spans="1:105" s="34" customFormat="1" x14ac:dyDescent="0.25">
      <c r="A88" s="34" t="s">
        <v>29</v>
      </c>
      <c r="B88" s="36" t="s">
        <v>141</v>
      </c>
      <c r="C88" s="34" t="s">
        <v>3</v>
      </c>
      <c r="D88" s="36">
        <v>0.63200000000000001</v>
      </c>
      <c r="E88" s="42">
        <f t="shared" si="53"/>
        <v>0.36799999999999999</v>
      </c>
      <c r="F88" s="36">
        <v>0.6181534107658746</v>
      </c>
      <c r="G88" s="36">
        <f>D88-F88</f>
        <v>1.3846589234125406E-2</v>
      </c>
      <c r="H88" s="42">
        <f>0-G88</f>
        <v>-1.3846589234125406E-2</v>
      </c>
      <c r="J88" s="34" t="s">
        <v>129</v>
      </c>
      <c r="L88" s="34" t="s">
        <v>140</v>
      </c>
      <c r="O88" s="34" t="s">
        <v>139</v>
      </c>
      <c r="R88" s="34" t="s">
        <v>138</v>
      </c>
      <c r="AH88" s="36">
        <v>0.71099999999999997</v>
      </c>
      <c r="AI88" s="36">
        <v>0.64015035024773626</v>
      </c>
      <c r="AJ88" s="36">
        <v>0.6554389658234927</v>
      </c>
      <c r="AK88" s="36">
        <v>0.68470963957505049</v>
      </c>
      <c r="AL88" s="36">
        <v>0.68599999999999994</v>
      </c>
      <c r="AM88" s="36">
        <v>0.75692740439284223</v>
      </c>
      <c r="AN88" s="36">
        <v>0.74250277674935206</v>
      </c>
      <c r="AO88" s="36">
        <v>0.6181534107658746</v>
      </c>
      <c r="AP88" s="36">
        <f>AO88-AN88</f>
        <v>-0.12434936598347746</v>
      </c>
      <c r="AQ88" s="36"/>
      <c r="AR88" s="36">
        <f t="shared" si="71"/>
        <v>0.28900000000000003</v>
      </c>
      <c r="AS88" s="36">
        <f t="shared" ref="AS88:AY92" si="72">1-AI88</f>
        <v>0.35984964975226374</v>
      </c>
      <c r="AT88" s="36">
        <f t="shared" si="72"/>
        <v>0.3445610341765073</v>
      </c>
      <c r="AU88" s="36">
        <f t="shared" si="72"/>
        <v>0.31529036042494951</v>
      </c>
      <c r="AV88" s="36">
        <f t="shared" si="72"/>
        <v>0.31400000000000006</v>
      </c>
      <c r="AW88" s="36">
        <f t="shared" si="72"/>
        <v>0.24307259560715777</v>
      </c>
      <c r="AX88" s="36">
        <f t="shared" si="72"/>
        <v>0.25749722325064794</v>
      </c>
      <c r="AY88" s="36">
        <f t="shared" si="72"/>
        <v>0.3818465892341254</v>
      </c>
      <c r="BA88" s="36">
        <f t="shared" si="55"/>
        <v>0.36799999999999999</v>
      </c>
      <c r="BB88" s="36">
        <v>0.63200000000000001</v>
      </c>
      <c r="BD88" s="36">
        <f t="shared" si="56"/>
        <v>0.33202939483229665</v>
      </c>
      <c r="BE88" s="36">
        <v>0.66797060516770335</v>
      </c>
      <c r="BH88" s="36">
        <v>0.58899999999999997</v>
      </c>
      <c r="BI88" s="36">
        <v>0.34100000000000003</v>
      </c>
      <c r="BJ88" s="36">
        <v>0.31899999999999995</v>
      </c>
      <c r="BL88" s="41">
        <v>1893.38</v>
      </c>
      <c r="BN88" s="40">
        <v>37.668599999999998</v>
      </c>
      <c r="BQ88" s="34" t="s">
        <v>132</v>
      </c>
      <c r="BR88" s="34" t="s">
        <v>52</v>
      </c>
      <c r="BS88" s="39">
        <v>0.52050673258310021</v>
      </c>
      <c r="CA88"/>
      <c r="CB88"/>
      <c r="CC88"/>
      <c r="CD88"/>
      <c r="CE88"/>
      <c r="CR88" s="34" t="s">
        <v>3</v>
      </c>
      <c r="CS88" s="34" t="s">
        <v>131</v>
      </c>
      <c r="CT88" s="34">
        <f t="shared" si="57"/>
        <v>0</v>
      </c>
      <c r="CU88" s="34">
        <f t="shared" si="58"/>
        <v>0</v>
      </c>
      <c r="CV88" s="34">
        <f t="shared" si="59"/>
        <v>0</v>
      </c>
      <c r="CW88" s="34">
        <f t="shared" si="60"/>
        <v>0</v>
      </c>
      <c r="CX88" s="38">
        <f t="shared" si="61"/>
        <v>0</v>
      </c>
      <c r="CY88" s="36">
        <f t="shared" si="63"/>
        <v>0.66539420000000005</v>
      </c>
      <c r="CZ88" s="37">
        <f t="shared" si="62"/>
        <v>0.99999999999925704</v>
      </c>
      <c r="DA88" s="34" t="str">
        <f t="shared" si="64"/>
        <v/>
      </c>
    </row>
    <row r="89" spans="1:105" x14ac:dyDescent="0.25">
      <c r="A89" t="s">
        <v>137</v>
      </c>
      <c r="B89" s="31" t="s">
        <v>110</v>
      </c>
      <c r="C89" t="s">
        <v>136</v>
      </c>
      <c r="D89" s="31">
        <v>0.499</v>
      </c>
      <c r="E89" s="42">
        <f t="shared" si="53"/>
        <v>0.501</v>
      </c>
      <c r="F89" s="31">
        <v>0.54101778050275906</v>
      </c>
      <c r="G89" s="31">
        <f>D89-F89</f>
        <v>-4.2017780502759061E-2</v>
      </c>
      <c r="H89" s="42">
        <f>0-G89</f>
        <v>4.2017780502759061E-2</v>
      </c>
      <c r="L89" t="s">
        <v>135</v>
      </c>
      <c r="O89" t="s">
        <v>134</v>
      </c>
      <c r="R89" t="s">
        <v>133</v>
      </c>
      <c r="AH89" s="31">
        <v>0.57499999999999996</v>
      </c>
      <c r="AI89" s="31">
        <v>0.51762972318703293</v>
      </c>
      <c r="AJ89" s="31">
        <v>0.51621279094927519</v>
      </c>
      <c r="AK89" s="31">
        <v>0.54192344659919711</v>
      </c>
      <c r="AL89" s="31">
        <v>0.495</v>
      </c>
      <c r="AM89" s="31">
        <v>0.59530673610465301</v>
      </c>
      <c r="AN89" s="31">
        <v>0.57911189483808911</v>
      </c>
      <c r="AO89" s="31">
        <v>0.54101778050275906</v>
      </c>
      <c r="AP89" s="36">
        <f>AO89-AN89</f>
        <v>-3.8094114335330054E-2</v>
      </c>
      <c r="AQ89" s="36">
        <f>AN89-AM89</f>
        <v>-1.6194841266563897E-2</v>
      </c>
      <c r="AR89" s="31">
        <f t="shared" si="71"/>
        <v>0.42500000000000004</v>
      </c>
      <c r="AS89" s="31">
        <f t="shared" si="72"/>
        <v>0.48237027681296707</v>
      </c>
      <c r="AT89" s="31">
        <f t="shared" si="72"/>
        <v>0.48378720905072481</v>
      </c>
      <c r="AU89" s="31">
        <f t="shared" si="72"/>
        <v>0.45807655340080289</v>
      </c>
      <c r="AV89" s="31">
        <f t="shared" si="72"/>
        <v>0.505</v>
      </c>
      <c r="AW89" s="31">
        <f t="shared" si="72"/>
        <v>0.40469326389534699</v>
      </c>
      <c r="AX89" s="31">
        <f t="shared" si="72"/>
        <v>0.42088810516191089</v>
      </c>
      <c r="AY89" s="31">
        <f t="shared" si="72"/>
        <v>0.45898221949724094</v>
      </c>
      <c r="BA89" s="31">
        <f t="shared" si="55"/>
        <v>0.501</v>
      </c>
      <c r="BB89" s="31">
        <v>0.499</v>
      </c>
      <c r="BD89" s="43">
        <f t="shared" si="56"/>
        <v>0.50151082064847219</v>
      </c>
      <c r="BE89" s="31">
        <v>0.49848917935152787</v>
      </c>
      <c r="BH89" s="31">
        <v>0.51100000000000001</v>
      </c>
      <c r="BI89" s="31">
        <v>0.58899999999999997</v>
      </c>
      <c r="BJ89" s="31">
        <v>0.128</v>
      </c>
      <c r="BL89" s="35">
        <v>1798.43</v>
      </c>
      <c r="BN89" s="32">
        <v>34.273000000000003</v>
      </c>
      <c r="BQ89" t="s">
        <v>132</v>
      </c>
      <c r="BR89" t="s">
        <v>54</v>
      </c>
      <c r="BS89" s="33">
        <v>0.47949326741689974</v>
      </c>
      <c r="CR89" s="34" t="s">
        <v>3</v>
      </c>
      <c r="CS89" s="34" t="s">
        <v>131</v>
      </c>
      <c r="CT89" s="34">
        <f t="shared" si="57"/>
        <v>0</v>
      </c>
      <c r="CU89" s="34">
        <f t="shared" si="58"/>
        <v>0</v>
      </c>
      <c r="CV89" s="34">
        <f t="shared" si="59"/>
        <v>0</v>
      </c>
      <c r="CW89" s="34">
        <f t="shared" si="60"/>
        <v>0</v>
      </c>
      <c r="CX89" s="38">
        <f t="shared" si="61"/>
        <v>0</v>
      </c>
      <c r="CY89" s="36">
        <f t="shared" si="63"/>
        <v>0.53239420000000004</v>
      </c>
      <c r="CZ89" s="37">
        <f t="shared" si="62"/>
        <v>0.91710661616701827</v>
      </c>
      <c r="DA89" s="34" t="str">
        <f t="shared" si="64"/>
        <v>ALP GAIN</v>
      </c>
    </row>
    <row r="90" spans="1:105" s="34" customFormat="1" x14ac:dyDescent="0.25">
      <c r="A90" s="34" t="s">
        <v>24</v>
      </c>
      <c r="B90" s="36" t="s">
        <v>130</v>
      </c>
      <c r="C90" s="34" t="s">
        <v>3</v>
      </c>
      <c r="D90" s="36">
        <v>0.66</v>
      </c>
      <c r="E90" s="42">
        <f t="shared" si="53"/>
        <v>0.33999999999999997</v>
      </c>
      <c r="F90" s="36">
        <v>0.65288558497291471</v>
      </c>
      <c r="G90" s="36">
        <f>D90-F90</f>
        <v>7.114415027085319E-3</v>
      </c>
      <c r="H90" s="42">
        <f>0-G90</f>
        <v>-7.114415027085319E-3</v>
      </c>
      <c r="J90" s="34" t="s">
        <v>129</v>
      </c>
      <c r="O90" s="34" t="s">
        <v>128</v>
      </c>
      <c r="Q90" s="34" t="s">
        <v>127</v>
      </c>
      <c r="R90" s="34" t="s">
        <v>126</v>
      </c>
      <c r="U90" s="34" t="s">
        <v>121</v>
      </c>
      <c r="AD90" s="34" t="s">
        <v>125</v>
      </c>
      <c r="AG90" s="34" t="s">
        <v>124</v>
      </c>
      <c r="AH90" s="36">
        <v>0.54899999999999993</v>
      </c>
      <c r="AI90" s="36">
        <v>0.48334519331774595</v>
      </c>
      <c r="AJ90" s="36">
        <v>0.46935211767839702</v>
      </c>
      <c r="AK90" s="36">
        <v>0.53739322127307798</v>
      </c>
      <c r="AL90" s="36">
        <v>0.58899999999999997</v>
      </c>
      <c r="AM90" s="36">
        <v>0.72877496384281626</v>
      </c>
      <c r="AN90" s="36">
        <v>0.70191558528787512</v>
      </c>
      <c r="AO90" s="36">
        <v>0.65288558497291471</v>
      </c>
      <c r="AP90" s="36">
        <f>AO90-AN90</f>
        <v>-4.9030000314960409E-2</v>
      </c>
      <c r="AQ90" s="36"/>
      <c r="AR90" s="36">
        <f t="shared" si="71"/>
        <v>0.45100000000000007</v>
      </c>
      <c r="AS90" s="36">
        <f t="shared" si="72"/>
        <v>0.51665480668225405</v>
      </c>
      <c r="AT90" s="36">
        <f t="shared" si="72"/>
        <v>0.53064788232160298</v>
      </c>
      <c r="AU90" s="36">
        <f t="shared" si="72"/>
        <v>0.46260677872692202</v>
      </c>
      <c r="AV90" s="36">
        <f t="shared" si="72"/>
        <v>0.41100000000000003</v>
      </c>
      <c r="AW90" s="36">
        <f t="shared" si="72"/>
        <v>0.27122503615718374</v>
      </c>
      <c r="AX90" s="36">
        <f t="shared" si="72"/>
        <v>0.29808441471212488</v>
      </c>
      <c r="AY90" s="36">
        <f t="shared" si="72"/>
        <v>0.34711441502708529</v>
      </c>
      <c r="BA90" s="36">
        <f t="shared" si="55"/>
        <v>0.33999999999999997</v>
      </c>
      <c r="BB90" s="36">
        <v>0.66</v>
      </c>
      <c r="BD90" s="36">
        <f t="shared" si="56"/>
        <v>0.38129569802146379</v>
      </c>
      <c r="BE90" s="36">
        <v>0.61870430197853621</v>
      </c>
      <c r="BH90" s="36">
        <v>0.51500000000000001</v>
      </c>
      <c r="BI90" s="36">
        <v>0.58899999999999997</v>
      </c>
      <c r="BJ90" s="36">
        <v>0.47599999999999998</v>
      </c>
      <c r="BL90" s="41">
        <v>1479.45</v>
      </c>
      <c r="BN90" s="40">
        <v>31.741299999999999</v>
      </c>
      <c r="BQ90" s="34" t="s">
        <v>123</v>
      </c>
      <c r="BR90" s="34" t="s">
        <v>41</v>
      </c>
      <c r="BS90" s="39">
        <v>1</v>
      </c>
      <c r="CA90" t="s">
        <v>122</v>
      </c>
      <c r="CB90"/>
      <c r="CC90"/>
      <c r="CD90"/>
      <c r="CE90"/>
      <c r="CK90" s="34" t="s">
        <v>121</v>
      </c>
      <c r="CR90" s="34" t="s">
        <v>3</v>
      </c>
      <c r="CS90" s="34" t="s">
        <v>120</v>
      </c>
      <c r="CT90" s="34">
        <f t="shared" si="57"/>
        <v>1</v>
      </c>
      <c r="CU90" s="34">
        <f t="shared" si="58"/>
        <v>0</v>
      </c>
      <c r="CV90" s="34">
        <f t="shared" si="59"/>
        <v>0</v>
      </c>
      <c r="CW90" s="34">
        <f t="shared" si="60"/>
        <v>0</v>
      </c>
      <c r="CX90" s="38">
        <f t="shared" si="61"/>
        <v>-0.01</v>
      </c>
      <c r="CY90" s="36">
        <f t="shared" si="63"/>
        <v>0.68339420000000006</v>
      </c>
      <c r="CZ90" s="37">
        <f t="shared" si="62"/>
        <v>0.99999999999999789</v>
      </c>
      <c r="DA90" s="34" t="str">
        <f t="shared" si="64"/>
        <v/>
      </c>
    </row>
    <row r="91" spans="1:105" x14ac:dyDescent="0.25">
      <c r="A91" s="34" t="s">
        <v>119</v>
      </c>
      <c r="AH91" s="31">
        <v>0.42599999999999999</v>
      </c>
      <c r="AI91" s="31">
        <v>0.3192737882963203</v>
      </c>
      <c r="AJ91" s="31">
        <v>0.35022796827181313</v>
      </c>
      <c r="AK91" s="31">
        <v>0.36690114772306553</v>
      </c>
      <c r="AL91" s="31">
        <v>0.379</v>
      </c>
      <c r="AM91" s="31">
        <v>0.49232840681362727</v>
      </c>
      <c r="AN91" s="31">
        <v>0.41877742946708463</v>
      </c>
      <c r="AO91" s="31">
        <v>0.32389695722926709</v>
      </c>
      <c r="AP91" s="31"/>
      <c r="AQ91" s="36"/>
      <c r="AR91" s="31">
        <f t="shared" si="71"/>
        <v>0.57400000000000007</v>
      </c>
      <c r="AS91" s="31">
        <f t="shared" si="72"/>
        <v>0.68072621170367964</v>
      </c>
      <c r="AT91" s="31">
        <f t="shared" si="72"/>
        <v>0.64977203172818687</v>
      </c>
      <c r="AU91" s="31">
        <f t="shared" si="72"/>
        <v>0.63309885227693452</v>
      </c>
      <c r="AV91" s="31">
        <f t="shared" si="72"/>
        <v>0.621</v>
      </c>
      <c r="AW91" s="31">
        <f t="shared" si="72"/>
        <v>0.50767159318637267</v>
      </c>
      <c r="AX91" s="31">
        <f t="shared" si="72"/>
        <v>0.58122257053291537</v>
      </c>
      <c r="AY91" s="31">
        <f t="shared" si="72"/>
        <v>0.67610304277073285</v>
      </c>
      <c r="BQ91" t="s">
        <v>118</v>
      </c>
      <c r="BR91" t="s">
        <v>117</v>
      </c>
      <c r="BS91" s="33">
        <v>1</v>
      </c>
    </row>
    <row r="92" spans="1:105" x14ac:dyDescent="0.25">
      <c r="A92" s="34" t="s">
        <v>116</v>
      </c>
      <c r="G92" s="31"/>
      <c r="H92" s="31"/>
      <c r="AH92" s="31">
        <v>0.217</v>
      </c>
      <c r="AI92" s="31"/>
      <c r="AJ92" s="31">
        <v>0.23872401621126946</v>
      </c>
      <c r="AK92" s="31">
        <v>0.34353752777685648</v>
      </c>
      <c r="AL92" s="31">
        <v>0.35700000000000004</v>
      </c>
      <c r="AM92" s="31">
        <v>0.33561069532002114</v>
      </c>
      <c r="AN92" s="31">
        <v>0.25185929017478897</v>
      </c>
      <c r="AO92" s="31">
        <v>0.23839907192575405</v>
      </c>
      <c r="AP92" s="31"/>
      <c r="AQ92" s="36"/>
      <c r="AR92" s="31">
        <f t="shared" si="71"/>
        <v>0.78300000000000003</v>
      </c>
      <c r="AS92" s="31">
        <f t="shared" si="72"/>
        <v>1</v>
      </c>
      <c r="AT92" s="31">
        <f t="shared" si="72"/>
        <v>0.76127598378873051</v>
      </c>
      <c r="AU92" s="31">
        <f t="shared" si="72"/>
        <v>0.65646247222314358</v>
      </c>
      <c r="AV92" s="31">
        <f t="shared" si="72"/>
        <v>0.64300000000000002</v>
      </c>
      <c r="AW92" s="31">
        <f t="shared" si="72"/>
        <v>0.66438930467997892</v>
      </c>
      <c r="AX92" s="31">
        <f t="shared" si="72"/>
        <v>0.74814070982521108</v>
      </c>
      <c r="AY92" s="31">
        <f t="shared" si="72"/>
        <v>0.76160092807424595</v>
      </c>
      <c r="BQ92" t="s">
        <v>114</v>
      </c>
      <c r="BR92" t="s">
        <v>62</v>
      </c>
      <c r="BS92" s="33">
        <v>0.60804462712859664</v>
      </c>
      <c r="CZ92" s="35">
        <f>SUM(CZ3:CZ90)</f>
        <v>47.843715744563262</v>
      </c>
    </row>
    <row r="93" spans="1:105" ht="30" customHeight="1" x14ac:dyDescent="0.25">
      <c r="A93" s="34" t="s">
        <v>115</v>
      </c>
      <c r="G93" s="31"/>
      <c r="H93" s="31"/>
      <c r="AH93" s="31">
        <v>0.46700000000000003</v>
      </c>
      <c r="AI93" s="31">
        <v>0.38135648970462471</v>
      </c>
      <c r="AJ93" s="31">
        <v>0.407383100902379</v>
      </c>
      <c r="AK93" s="31">
        <v>0.43943255751559462</v>
      </c>
      <c r="AL93" s="31"/>
      <c r="AM93" s="31"/>
      <c r="AN93" s="31"/>
      <c r="AO93" s="31"/>
      <c r="AP93" s="31"/>
      <c r="AR93" s="31">
        <f t="shared" si="71"/>
        <v>0.53299999999999992</v>
      </c>
      <c r="AS93" s="31">
        <f t="shared" ref="AS93:AU95" si="73">1-AI93</f>
        <v>0.61864351029537534</v>
      </c>
      <c r="AT93" s="31">
        <f t="shared" si="73"/>
        <v>0.59261689909762105</v>
      </c>
      <c r="AU93" s="31">
        <f t="shared" si="73"/>
        <v>0.56056744248440538</v>
      </c>
      <c r="AV93" s="31"/>
      <c r="AW93" s="31"/>
      <c r="AX93" s="31"/>
      <c r="AY93" s="31"/>
      <c r="BN93" s="32"/>
      <c r="BQ93" t="s">
        <v>114</v>
      </c>
      <c r="BR93" t="s">
        <v>46</v>
      </c>
      <c r="BS93" s="33">
        <v>0.39195537287140342</v>
      </c>
    </row>
    <row r="94" spans="1:105" x14ac:dyDescent="0.25">
      <c r="A94" s="34" t="s">
        <v>113</v>
      </c>
      <c r="AH94" s="31">
        <v>0.56399999999999995</v>
      </c>
      <c r="AI94" s="31">
        <v>0.49594680413911613</v>
      </c>
      <c r="AJ94" s="31">
        <v>0.468408852998355</v>
      </c>
      <c r="AK94" s="31">
        <v>0.54584930756591821</v>
      </c>
      <c r="AL94" s="31"/>
      <c r="AM94" s="31"/>
      <c r="AN94" s="31"/>
      <c r="AO94" s="31"/>
      <c r="AP94" s="31"/>
      <c r="AR94" s="31">
        <f t="shared" si="71"/>
        <v>0.43600000000000005</v>
      </c>
      <c r="AS94" s="31">
        <f t="shared" si="73"/>
        <v>0.50405319586088382</v>
      </c>
      <c r="AT94" s="31">
        <f t="shared" si="73"/>
        <v>0.531591147001645</v>
      </c>
      <c r="AU94" s="31">
        <f t="shared" si="73"/>
        <v>0.45415069243408179</v>
      </c>
      <c r="AV94" s="31"/>
      <c r="AW94" s="31"/>
      <c r="AX94" s="31"/>
      <c r="AY94" s="31"/>
      <c r="BQ94" t="s">
        <v>111</v>
      </c>
      <c r="BR94" t="s">
        <v>27</v>
      </c>
      <c r="BS94" s="33">
        <v>0.42685289396483328</v>
      </c>
    </row>
    <row r="95" spans="1:105" ht="30" customHeight="1" x14ac:dyDescent="0.25">
      <c r="A95" s="34" t="s">
        <v>112</v>
      </c>
      <c r="AH95" s="31">
        <v>0.375</v>
      </c>
      <c r="AI95" s="31">
        <v>0.32912792506308114</v>
      </c>
      <c r="AJ95" s="31">
        <v>0.39405584543787903</v>
      </c>
      <c r="AK95" s="31">
        <v>0.45462548602450298</v>
      </c>
      <c r="AL95" s="31"/>
      <c r="AM95" s="31"/>
      <c r="AN95" s="31"/>
      <c r="AO95" s="31"/>
      <c r="AP95" s="31"/>
      <c r="AR95" s="31">
        <f t="shared" si="71"/>
        <v>0.625</v>
      </c>
      <c r="AS95" s="31">
        <f t="shared" si="73"/>
        <v>0.67087207493691881</v>
      </c>
      <c r="AT95" s="31">
        <f t="shared" si="73"/>
        <v>0.60594415456212092</v>
      </c>
      <c r="AU95" s="31">
        <f t="shared" si="73"/>
        <v>0.54537451397549708</v>
      </c>
      <c r="AV95" s="31"/>
      <c r="AW95" s="31"/>
      <c r="AX95" s="31"/>
      <c r="AY95" s="31"/>
      <c r="BQ95" t="s">
        <v>111</v>
      </c>
      <c r="BR95" t="s">
        <v>60</v>
      </c>
      <c r="BS95" s="33">
        <v>0.38354951198361592</v>
      </c>
    </row>
    <row r="96" spans="1:105" x14ac:dyDescent="0.25">
      <c r="BQ96" t="s">
        <v>111</v>
      </c>
      <c r="BR96" t="s">
        <v>32</v>
      </c>
      <c r="BS96" s="33">
        <v>0.1733426815992915</v>
      </c>
    </row>
    <row r="97" spans="1:71" x14ac:dyDescent="0.25">
      <c r="BQ97" t="s">
        <v>111</v>
      </c>
      <c r="BR97" t="s">
        <v>41</v>
      </c>
      <c r="BS97" s="33">
        <v>1.6254912452259268E-2</v>
      </c>
    </row>
    <row r="98" spans="1:71" x14ac:dyDescent="0.25">
      <c r="A98" t="s">
        <v>110</v>
      </c>
      <c r="AD98" t="s">
        <v>109</v>
      </c>
      <c r="BQ98" t="s">
        <v>108</v>
      </c>
      <c r="BR98" t="s">
        <v>69</v>
      </c>
      <c r="BS98" s="33">
        <v>1</v>
      </c>
    </row>
    <row r="99" spans="1:71" x14ac:dyDescent="0.25">
      <c r="AD99" t="s">
        <v>107</v>
      </c>
      <c r="BQ99" t="s">
        <v>65</v>
      </c>
      <c r="BR99" t="s">
        <v>65</v>
      </c>
      <c r="BS99" s="33">
        <v>1</v>
      </c>
    </row>
    <row r="100" spans="1:71" x14ac:dyDescent="0.25">
      <c r="BQ100" t="s">
        <v>103</v>
      </c>
      <c r="BR100" t="s">
        <v>41</v>
      </c>
      <c r="BS100" s="33">
        <v>0.74916366546618651</v>
      </c>
    </row>
    <row r="101" spans="1:71" x14ac:dyDescent="0.25">
      <c r="A101" t="s">
        <v>106</v>
      </c>
      <c r="AB101" t="s">
        <v>105</v>
      </c>
      <c r="AD101" t="s">
        <v>104</v>
      </c>
      <c r="BQ101" t="s">
        <v>103</v>
      </c>
      <c r="BR101" t="s">
        <v>32</v>
      </c>
      <c r="BS101" s="33">
        <v>0.25083633453381354</v>
      </c>
    </row>
    <row r="102" spans="1:71" x14ac:dyDescent="0.25">
      <c r="BQ102" t="s">
        <v>102</v>
      </c>
      <c r="BR102" t="s">
        <v>62</v>
      </c>
      <c r="BS102" s="33">
        <v>1</v>
      </c>
    </row>
    <row r="103" spans="1:71" x14ac:dyDescent="0.25">
      <c r="A103" t="s">
        <v>101</v>
      </c>
      <c r="AD103" t="s">
        <v>100</v>
      </c>
      <c r="BQ103" t="s">
        <v>99</v>
      </c>
      <c r="BR103" t="s">
        <v>25</v>
      </c>
      <c r="BS103" s="33">
        <v>0.82675828617623282</v>
      </c>
    </row>
    <row r="104" spans="1:71" x14ac:dyDescent="0.25">
      <c r="BQ104" t="s">
        <v>99</v>
      </c>
      <c r="BR104" t="s">
        <v>27</v>
      </c>
      <c r="BS104" s="33">
        <v>0.17324171382376718</v>
      </c>
    </row>
    <row r="105" spans="1:71" x14ac:dyDescent="0.25">
      <c r="A105" t="s">
        <v>98</v>
      </c>
      <c r="AB105" t="s">
        <v>97</v>
      </c>
      <c r="BQ105" t="s">
        <v>95</v>
      </c>
      <c r="BR105" t="s">
        <v>96</v>
      </c>
      <c r="BS105" s="33">
        <v>0.50381207864177047</v>
      </c>
    </row>
    <row r="106" spans="1:71" x14ac:dyDescent="0.25">
      <c r="BQ106" t="s">
        <v>95</v>
      </c>
      <c r="BR106" t="s">
        <v>56</v>
      </c>
      <c r="BS106" s="33">
        <v>0.49618792135822948</v>
      </c>
    </row>
    <row r="107" spans="1:71" x14ac:dyDescent="0.25">
      <c r="A107" t="s">
        <v>94</v>
      </c>
      <c r="AB107" t="s">
        <v>93</v>
      </c>
      <c r="BQ107" t="s">
        <v>92</v>
      </c>
      <c r="BR107" t="s">
        <v>54</v>
      </c>
      <c r="BS107" s="33">
        <v>0.88371275527284898</v>
      </c>
    </row>
    <row r="108" spans="1:71" x14ac:dyDescent="0.25">
      <c r="BQ108" t="s">
        <v>92</v>
      </c>
      <c r="BR108" t="s">
        <v>52</v>
      </c>
      <c r="BS108" s="33">
        <v>0.11628724472715099</v>
      </c>
    </row>
    <row r="109" spans="1:71" x14ac:dyDescent="0.25">
      <c r="BQ109" t="s">
        <v>90</v>
      </c>
      <c r="BR109" t="s">
        <v>91</v>
      </c>
      <c r="BS109" s="33">
        <v>0.68640517897943643</v>
      </c>
    </row>
    <row r="110" spans="1:71" x14ac:dyDescent="0.25">
      <c r="BQ110" t="s">
        <v>90</v>
      </c>
      <c r="BR110" t="s">
        <v>79</v>
      </c>
      <c r="BS110" s="33">
        <v>0.31359482102056357</v>
      </c>
    </row>
    <row r="111" spans="1:71" x14ac:dyDescent="0.25">
      <c r="BQ111" t="s">
        <v>88</v>
      </c>
      <c r="BR111" t="s">
        <v>89</v>
      </c>
      <c r="BS111" s="33">
        <v>0.86781048323626631</v>
      </c>
    </row>
    <row r="112" spans="1:71" x14ac:dyDescent="0.25">
      <c r="BQ112" t="s">
        <v>88</v>
      </c>
      <c r="BR112" t="s">
        <v>83</v>
      </c>
      <c r="BS112" s="33">
        <v>0.13218951676373367</v>
      </c>
    </row>
    <row r="113" spans="69:71" x14ac:dyDescent="0.25">
      <c r="BQ113" t="s">
        <v>87</v>
      </c>
      <c r="BR113" t="s">
        <v>74</v>
      </c>
      <c r="BS113" s="33">
        <v>0.52356834820980847</v>
      </c>
    </row>
    <row r="114" spans="69:71" x14ac:dyDescent="0.25">
      <c r="BQ114" t="s">
        <v>87</v>
      </c>
      <c r="BR114" t="s">
        <v>76</v>
      </c>
      <c r="BS114" s="33">
        <v>0.47643165179019153</v>
      </c>
    </row>
    <row r="115" spans="69:71" x14ac:dyDescent="0.25">
      <c r="BQ115" t="s">
        <v>86</v>
      </c>
      <c r="BR115" t="s">
        <v>74</v>
      </c>
      <c r="BS115" s="33">
        <v>1</v>
      </c>
    </row>
    <row r="116" spans="69:71" x14ac:dyDescent="0.25">
      <c r="BQ116" t="s">
        <v>85</v>
      </c>
      <c r="BR116" t="s">
        <v>50</v>
      </c>
      <c r="BS116" s="33">
        <v>0.57370034591865171</v>
      </c>
    </row>
    <row r="117" spans="69:71" x14ac:dyDescent="0.25">
      <c r="BQ117" t="s">
        <v>85</v>
      </c>
      <c r="BR117" t="s">
        <v>62</v>
      </c>
      <c r="BS117" s="33">
        <v>0.42629965408134829</v>
      </c>
    </row>
    <row r="118" spans="69:71" x14ac:dyDescent="0.25">
      <c r="BQ118" t="s">
        <v>84</v>
      </c>
      <c r="BR118" t="s">
        <v>83</v>
      </c>
      <c r="BS118" s="33">
        <v>1</v>
      </c>
    </row>
    <row r="119" spans="69:71" x14ac:dyDescent="0.25">
      <c r="BQ119" t="s">
        <v>82</v>
      </c>
      <c r="BR119" t="s">
        <v>58</v>
      </c>
      <c r="BS119" s="33">
        <v>0.6689113355780022</v>
      </c>
    </row>
    <row r="120" spans="69:71" x14ac:dyDescent="0.25">
      <c r="BQ120" t="s">
        <v>82</v>
      </c>
      <c r="BR120" t="s">
        <v>56</v>
      </c>
      <c r="BS120" s="33">
        <v>0.33108866442199775</v>
      </c>
    </row>
    <row r="121" spans="69:71" x14ac:dyDescent="0.25">
      <c r="BQ121" t="s">
        <v>81</v>
      </c>
      <c r="BR121" t="s">
        <v>58</v>
      </c>
      <c r="BS121" s="33">
        <v>0.5407226045526734</v>
      </c>
    </row>
    <row r="122" spans="69:71" x14ac:dyDescent="0.25">
      <c r="BQ122" t="s">
        <v>81</v>
      </c>
      <c r="BR122" t="s">
        <v>56</v>
      </c>
      <c r="BS122" s="33">
        <v>0.45927739544732665</v>
      </c>
    </row>
    <row r="123" spans="69:71" x14ac:dyDescent="0.25">
      <c r="BQ123" t="s">
        <v>80</v>
      </c>
      <c r="BR123" t="s">
        <v>79</v>
      </c>
      <c r="BS123" s="33">
        <v>1</v>
      </c>
    </row>
    <row r="124" spans="69:71" x14ac:dyDescent="0.25">
      <c r="BQ124" t="s">
        <v>78</v>
      </c>
      <c r="BR124" t="s">
        <v>45</v>
      </c>
      <c r="BS124" s="33">
        <v>0.82438146648672961</v>
      </c>
    </row>
    <row r="125" spans="69:71" x14ac:dyDescent="0.25">
      <c r="BQ125" t="s">
        <v>78</v>
      </c>
      <c r="BR125" t="s">
        <v>23</v>
      </c>
      <c r="BS125" s="33">
        <v>0.17561853351327036</v>
      </c>
    </row>
    <row r="126" spans="69:71" x14ac:dyDescent="0.25">
      <c r="BQ126" t="s">
        <v>77</v>
      </c>
      <c r="BR126" t="s">
        <v>37</v>
      </c>
      <c r="BS126" s="33">
        <v>1</v>
      </c>
    </row>
    <row r="127" spans="69:71" x14ac:dyDescent="0.25">
      <c r="BQ127" t="s">
        <v>75</v>
      </c>
      <c r="BR127" t="s">
        <v>69</v>
      </c>
      <c r="BS127" s="33">
        <v>0.36767326342348022</v>
      </c>
    </row>
    <row r="128" spans="69:71" x14ac:dyDescent="0.25">
      <c r="BQ128" t="s">
        <v>75</v>
      </c>
      <c r="BR128" t="s">
        <v>76</v>
      </c>
      <c r="BS128" s="33">
        <v>0.35062682330678863</v>
      </c>
    </row>
    <row r="129" spans="69:71" x14ac:dyDescent="0.25">
      <c r="BQ129" t="s">
        <v>75</v>
      </c>
      <c r="BR129" t="s">
        <v>52</v>
      </c>
      <c r="BS129" s="33">
        <v>0.21397145785697391</v>
      </c>
    </row>
    <row r="130" spans="69:71" x14ac:dyDescent="0.25">
      <c r="BQ130" t="s">
        <v>75</v>
      </c>
      <c r="BR130" t="s">
        <v>74</v>
      </c>
      <c r="BS130" s="33">
        <v>6.7728455412757238E-2</v>
      </c>
    </row>
    <row r="131" spans="69:71" x14ac:dyDescent="0.25">
      <c r="BQ131" t="s">
        <v>72</v>
      </c>
      <c r="BR131" t="s">
        <v>73</v>
      </c>
      <c r="BS131" s="33">
        <v>0.69527004235223566</v>
      </c>
    </row>
    <row r="132" spans="69:71" x14ac:dyDescent="0.25">
      <c r="BQ132" t="s">
        <v>72</v>
      </c>
      <c r="BR132" t="s">
        <v>50</v>
      </c>
      <c r="BS132" s="33">
        <v>0.30472995764776434</v>
      </c>
    </row>
    <row r="133" spans="69:71" x14ac:dyDescent="0.25">
      <c r="BQ133" t="s">
        <v>71</v>
      </c>
      <c r="BR133" t="s">
        <v>43</v>
      </c>
      <c r="BS133" s="33">
        <v>1</v>
      </c>
    </row>
    <row r="134" spans="69:71" x14ac:dyDescent="0.25">
      <c r="BQ134" t="s">
        <v>70</v>
      </c>
      <c r="BR134" t="s">
        <v>48</v>
      </c>
      <c r="BS134" s="33">
        <v>0.65344284312206213</v>
      </c>
    </row>
    <row r="135" spans="69:71" x14ac:dyDescent="0.25">
      <c r="BQ135" t="s">
        <v>70</v>
      </c>
      <c r="BR135" t="s">
        <v>46</v>
      </c>
      <c r="BS135" s="33">
        <v>0.34655715687793792</v>
      </c>
    </row>
    <row r="136" spans="69:71" x14ac:dyDescent="0.25">
      <c r="BQ136" t="s">
        <v>68</v>
      </c>
      <c r="BR136" t="s">
        <v>69</v>
      </c>
      <c r="BS136" s="33">
        <v>0.58770349398365618</v>
      </c>
    </row>
    <row r="137" spans="69:71" x14ac:dyDescent="0.25">
      <c r="BQ137" t="s">
        <v>68</v>
      </c>
      <c r="BR137" t="s">
        <v>67</v>
      </c>
      <c r="BS137" s="33">
        <v>0.41229650601634388</v>
      </c>
    </row>
    <row r="138" spans="69:71" x14ac:dyDescent="0.25">
      <c r="BQ138" t="s">
        <v>66</v>
      </c>
      <c r="BR138" t="s">
        <v>37</v>
      </c>
      <c r="BS138" s="33">
        <v>0.55842741056946654</v>
      </c>
    </row>
    <row r="139" spans="69:71" x14ac:dyDescent="0.25">
      <c r="BQ139" t="s">
        <v>66</v>
      </c>
      <c r="BR139" t="s">
        <v>65</v>
      </c>
      <c r="BS139" s="33">
        <v>0.44157258943053346</v>
      </c>
    </row>
    <row r="140" spans="69:71" x14ac:dyDescent="0.25">
      <c r="BQ140" t="s">
        <v>63</v>
      </c>
      <c r="BR140" t="s">
        <v>64</v>
      </c>
      <c r="BS140" s="33">
        <v>0.96613017792484535</v>
      </c>
    </row>
    <row r="141" spans="69:71" x14ac:dyDescent="0.25">
      <c r="BQ141" t="s">
        <v>63</v>
      </c>
      <c r="BR141" t="s">
        <v>36</v>
      </c>
      <c r="BS141" s="33">
        <v>3.3869822075154626E-2</v>
      </c>
    </row>
    <row r="142" spans="69:71" x14ac:dyDescent="0.25">
      <c r="BQ142" t="s">
        <v>61</v>
      </c>
      <c r="BR142" t="s">
        <v>46</v>
      </c>
      <c r="BS142" s="33">
        <v>0.47637695592728257</v>
      </c>
    </row>
    <row r="143" spans="69:71" x14ac:dyDescent="0.25">
      <c r="BQ143" t="s">
        <v>61</v>
      </c>
      <c r="BR143" t="s">
        <v>62</v>
      </c>
      <c r="BS143" s="33">
        <v>0.23997771888661951</v>
      </c>
    </row>
    <row r="144" spans="69:71" x14ac:dyDescent="0.25">
      <c r="BQ144" t="s">
        <v>61</v>
      </c>
      <c r="BR144" t="s">
        <v>32</v>
      </c>
      <c r="BS144" s="33">
        <v>0.21200816974157285</v>
      </c>
    </row>
    <row r="145" spans="69:71" x14ac:dyDescent="0.25">
      <c r="BQ145" t="s">
        <v>61</v>
      </c>
      <c r="BR145" t="s">
        <v>50</v>
      </c>
      <c r="BS145" s="33">
        <v>5.6091014972233004E-2</v>
      </c>
    </row>
    <row r="146" spans="69:71" x14ac:dyDescent="0.25">
      <c r="BQ146" t="s">
        <v>61</v>
      </c>
      <c r="BR146" t="s">
        <v>60</v>
      </c>
      <c r="BS146" s="33">
        <v>1.5546140472292086E-2</v>
      </c>
    </row>
    <row r="147" spans="69:71" x14ac:dyDescent="0.25">
      <c r="BQ147" t="s">
        <v>57</v>
      </c>
      <c r="BR147" t="s">
        <v>59</v>
      </c>
      <c r="BS147" s="33">
        <v>0.98508365248941743</v>
      </c>
    </row>
    <row r="148" spans="69:71" x14ac:dyDescent="0.25">
      <c r="BQ148" t="s">
        <v>57</v>
      </c>
      <c r="BR148" t="s">
        <v>58</v>
      </c>
      <c r="BS148" s="33">
        <v>7.7696945263968044E-3</v>
      </c>
    </row>
    <row r="149" spans="69:71" x14ac:dyDescent="0.25">
      <c r="BQ149" t="s">
        <v>57</v>
      </c>
      <c r="BR149" t="s">
        <v>56</v>
      </c>
      <c r="BS149" s="33">
        <v>7.1466529841857397E-3</v>
      </c>
    </row>
    <row r="150" spans="69:71" x14ac:dyDescent="0.25">
      <c r="BQ150" t="s">
        <v>53</v>
      </c>
      <c r="BR150" t="s">
        <v>55</v>
      </c>
      <c r="BS150" s="33">
        <v>0.7705577813146004</v>
      </c>
    </row>
    <row r="151" spans="69:71" x14ac:dyDescent="0.25">
      <c r="BQ151" t="s">
        <v>53</v>
      </c>
      <c r="BR151" t="s">
        <v>54</v>
      </c>
      <c r="BS151" s="33">
        <v>0.13257596546109801</v>
      </c>
    </row>
    <row r="152" spans="69:71" x14ac:dyDescent="0.25">
      <c r="BQ152" t="s">
        <v>53</v>
      </c>
      <c r="BR152" t="s">
        <v>52</v>
      </c>
      <c r="BS152" s="33">
        <v>9.6866253224301632E-2</v>
      </c>
    </row>
    <row r="153" spans="69:71" x14ac:dyDescent="0.25">
      <c r="BQ153" t="s">
        <v>51</v>
      </c>
      <c r="BR153" t="s">
        <v>50</v>
      </c>
      <c r="BS153" s="33">
        <v>1</v>
      </c>
    </row>
    <row r="154" spans="69:71" x14ac:dyDescent="0.25">
      <c r="BQ154" t="s">
        <v>49</v>
      </c>
      <c r="BR154" t="s">
        <v>48</v>
      </c>
      <c r="BS154" s="33">
        <v>1</v>
      </c>
    </row>
    <row r="155" spans="69:71" x14ac:dyDescent="0.25">
      <c r="BQ155" t="s">
        <v>47</v>
      </c>
      <c r="BR155" t="s">
        <v>46</v>
      </c>
      <c r="BS155" s="33">
        <v>1</v>
      </c>
    </row>
    <row r="156" spans="69:71" x14ac:dyDescent="0.25">
      <c r="BQ156" t="s">
        <v>44</v>
      </c>
      <c r="BR156" t="s">
        <v>45</v>
      </c>
      <c r="BS156" s="33">
        <v>0.68892301623083863</v>
      </c>
    </row>
    <row r="157" spans="69:71" x14ac:dyDescent="0.25">
      <c r="BQ157" t="s">
        <v>44</v>
      </c>
      <c r="BR157" t="s">
        <v>28</v>
      </c>
      <c r="BS157" s="33">
        <v>0.16570389990982867</v>
      </c>
    </row>
    <row r="158" spans="69:71" x14ac:dyDescent="0.25">
      <c r="BQ158" t="s">
        <v>44</v>
      </c>
      <c r="BR158" t="s">
        <v>23</v>
      </c>
      <c r="BS158" s="33">
        <v>0.14537308385933273</v>
      </c>
    </row>
    <row r="159" spans="69:71" x14ac:dyDescent="0.25">
      <c r="BQ159" t="s">
        <v>42</v>
      </c>
      <c r="BR159" t="s">
        <v>27</v>
      </c>
      <c r="BS159" s="33">
        <v>0.61426946149072603</v>
      </c>
    </row>
    <row r="160" spans="69:71" x14ac:dyDescent="0.25">
      <c r="BQ160" t="s">
        <v>42</v>
      </c>
      <c r="BR160" t="s">
        <v>23</v>
      </c>
      <c r="BS160" s="33">
        <v>0.30014479762807694</v>
      </c>
    </row>
    <row r="161" spans="69:71" x14ac:dyDescent="0.25">
      <c r="BQ161" t="s">
        <v>42</v>
      </c>
      <c r="BR161" t="s">
        <v>43</v>
      </c>
      <c r="BS161" s="33">
        <v>5.3713024891401777E-2</v>
      </c>
    </row>
    <row r="162" spans="69:71" x14ac:dyDescent="0.25">
      <c r="BQ162" t="s">
        <v>42</v>
      </c>
      <c r="BR162" t="s">
        <v>41</v>
      </c>
      <c r="BS162" s="33">
        <v>3.1872715989795214E-2</v>
      </c>
    </row>
    <row r="163" spans="69:71" x14ac:dyDescent="0.25">
      <c r="BQ163" t="s">
        <v>40</v>
      </c>
      <c r="BR163" t="s">
        <v>41</v>
      </c>
      <c r="BS163" s="33">
        <v>0.6014784846276271</v>
      </c>
    </row>
    <row r="164" spans="69:71" x14ac:dyDescent="0.25">
      <c r="BQ164" t="s">
        <v>40</v>
      </c>
      <c r="BR164" t="s">
        <v>23</v>
      </c>
      <c r="BS164" s="33">
        <v>0.39852151537237285</v>
      </c>
    </row>
    <row r="165" spans="69:71" x14ac:dyDescent="0.25">
      <c r="BQ165" t="s">
        <v>39</v>
      </c>
      <c r="BR165" t="s">
        <v>30</v>
      </c>
      <c r="BS165" s="33">
        <v>1</v>
      </c>
    </row>
    <row r="166" spans="69:71" x14ac:dyDescent="0.25">
      <c r="BQ166" t="s">
        <v>38</v>
      </c>
      <c r="BR166" t="s">
        <v>25</v>
      </c>
      <c r="BS166" s="33">
        <v>0.90896662352576607</v>
      </c>
    </row>
    <row r="167" spans="69:71" x14ac:dyDescent="0.25">
      <c r="BQ167" t="s">
        <v>38</v>
      </c>
      <c r="BR167" t="s">
        <v>37</v>
      </c>
      <c r="BS167" s="33">
        <v>9.1033376474233943E-2</v>
      </c>
    </row>
    <row r="168" spans="69:71" x14ac:dyDescent="0.25">
      <c r="BQ168" t="s">
        <v>35</v>
      </c>
      <c r="BR168" t="s">
        <v>36</v>
      </c>
      <c r="BS168" s="33">
        <v>0.94942020793724202</v>
      </c>
    </row>
    <row r="169" spans="69:71" x14ac:dyDescent="0.25">
      <c r="BQ169" t="s">
        <v>35</v>
      </c>
      <c r="BR169" t="s">
        <v>34</v>
      </c>
      <c r="BS169" s="33">
        <v>5.0579792062757992E-2</v>
      </c>
    </row>
    <row r="170" spans="69:71" x14ac:dyDescent="0.25">
      <c r="BQ170" t="s">
        <v>33</v>
      </c>
      <c r="BR170" t="s">
        <v>32</v>
      </c>
      <c r="BS170" s="33">
        <v>1</v>
      </c>
    </row>
    <row r="171" spans="69:71" x14ac:dyDescent="0.25">
      <c r="BQ171" t="s">
        <v>31</v>
      </c>
      <c r="BR171" t="s">
        <v>30</v>
      </c>
      <c r="BS171" s="33">
        <v>1</v>
      </c>
    </row>
    <row r="172" spans="69:71" x14ac:dyDescent="0.25">
      <c r="BQ172" t="s">
        <v>29</v>
      </c>
      <c r="BR172" t="s">
        <v>28</v>
      </c>
      <c r="BS172" s="33">
        <v>1</v>
      </c>
    </row>
    <row r="173" spans="69:71" x14ac:dyDescent="0.25">
      <c r="BQ173" t="s">
        <v>26</v>
      </c>
      <c r="BR173" t="s">
        <v>27</v>
      </c>
      <c r="BS173" s="33">
        <v>0.63726556881258412</v>
      </c>
    </row>
    <row r="174" spans="69:71" x14ac:dyDescent="0.25">
      <c r="BQ174" t="s">
        <v>26</v>
      </c>
      <c r="BR174" t="s">
        <v>25</v>
      </c>
      <c r="BS174" s="33">
        <v>0.36273443118741588</v>
      </c>
    </row>
    <row r="175" spans="69:71" x14ac:dyDescent="0.25">
      <c r="BQ175" t="s">
        <v>24</v>
      </c>
      <c r="BR175" t="s">
        <v>23</v>
      </c>
      <c r="BS175" s="33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Sheet1</vt:lpstr>
      <vt:lpstr>Seats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WBPC</dc:creator>
  <cp:lastModifiedBy>WBPC</cp:lastModifiedBy>
  <dcterms:created xsi:type="dcterms:W3CDTF">2014-11-06T16:36:51Z</dcterms:created>
  <dcterms:modified xsi:type="dcterms:W3CDTF">2015-03-01T12:42:25Z</dcterms:modified>
</cp:coreProperties>
</file>