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C:\Users\HanhNT8\Downloads\"/>
    </mc:Choice>
  </mc:AlternateContent>
  <xr:revisionPtr revIDLastSave="2" documentId="8_{BDB74915-B52F-4FBB-A5A8-BA2155586759}" xr6:coauthVersionLast="47" xr6:coauthVersionMax="47" xr10:uidLastSave="{865345EC-29F2-441A-96C2-5BCA5D18E00C}"/>
  <bookViews>
    <workbookView xWindow="28680" yWindow="-120" windowWidth="29040" windowHeight="15840" tabRatio="702" firstSheet="2" activeTab="1" xr2:uid="{00000000-000D-0000-FFFF-FFFF00000000}"/>
  </bookViews>
  <sheets>
    <sheet name="Cover" sheetId="1" r:id="rId1"/>
    <sheet name="CourseTitle_Syllabus" sheetId="2" r:id="rId2"/>
    <sheet name="CourseTitle_Schedule" sheetId="3" r:id="rId3"/>
    <sheet name="Author and Rec of Changes" sheetId="4" r:id="rId4"/>
    <sheet name="DV-IDENTITY-0" sheetId="5" state="hidden" r:id="rId5"/>
  </sheets>
  <definedNames>
    <definedName name="_xlnm._FilterDatabase" localSheetId="2" hidden="1">CourseTitle_Schedule!$A$2:$K$34</definedName>
    <definedName name="Excel_BuiltIn__FilterDatabase" localSheetId="2">CourseTitle_Schedule!$A$2:$K$34</definedName>
    <definedName name="Excel_BuiltIn__FilterDataba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 r="G50" i="3"/>
  <c r="G49" i="3"/>
  <c r="G48" i="3"/>
  <c r="G47" i="3"/>
  <c r="H46" i="3"/>
  <c r="G46" i="3"/>
  <c r="H45" i="3"/>
  <c r="G45" i="3"/>
  <c r="H44" i="3"/>
  <c r="G44" i="3"/>
  <c r="H43" i="3"/>
  <c r="G43" i="3"/>
  <c r="H42" i="3"/>
  <c r="H40" i="3"/>
  <c r="G41" i="3"/>
  <c r="G40" i="3"/>
  <c r="G42" i="3"/>
  <c r="H41" i="3"/>
  <c r="H47" i="3" l="1"/>
  <c r="H48" i="3" s="1"/>
  <c r="H49" i="3" s="1"/>
  <c r="I46" i="3"/>
  <c r="A1" i="5"/>
  <c r="B1" i="5"/>
  <c r="C1" i="5"/>
  <c r="D1" i="5"/>
  <c r="E1" i="5"/>
  <c r="F1" i="5"/>
  <c r="G1" i="5"/>
  <c r="H1" i="5"/>
  <c r="I1" i="5"/>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BZ1" i="5"/>
  <c r="CA1" i="5"/>
  <c r="CB1" i="5"/>
  <c r="CC1" i="5"/>
  <c r="CD1" i="5"/>
  <c r="CE1" i="5"/>
  <c r="CF1" i="5"/>
  <c r="CG1" i="5"/>
  <c r="CH1" i="5"/>
  <c r="CI1" i="5"/>
  <c r="CJ1" i="5"/>
  <c r="CK1" i="5"/>
  <c r="CL1" i="5"/>
  <c r="CM1" i="5"/>
  <c r="CN1" i="5"/>
  <c r="CO1" i="5"/>
  <c r="CP1" i="5"/>
  <c r="CQ1" i="5"/>
  <c r="CR1" i="5"/>
  <c r="CS1" i="5"/>
  <c r="CT1" i="5"/>
  <c r="CU1" i="5"/>
  <c r="CV1" i="5"/>
  <c r="CX1" i="5"/>
  <c r="CZ1" i="5"/>
  <c r="DA1" i="5"/>
  <c r="DB1" i="5"/>
  <c r="DC1" i="5"/>
  <c r="DD1" i="5"/>
  <c r="DF1" i="5"/>
  <c r="DG1" i="5"/>
  <c r="DH1" i="5"/>
  <c r="DI1" i="5"/>
  <c r="DJ1" i="5"/>
  <c r="DK1" i="5"/>
  <c r="DL1" i="5"/>
  <c r="DN1" i="5"/>
  <c r="DO1" i="5"/>
  <c r="DP1" i="5"/>
  <c r="DQ1" i="5"/>
  <c r="DR1" i="5"/>
  <c r="DS1" i="5"/>
  <c r="DT1" i="5"/>
  <c r="DV1" i="5"/>
  <c r="DW1" i="5"/>
  <c r="DX1" i="5"/>
  <c r="DY1" i="5"/>
  <c r="DZ1" i="5"/>
  <c r="EA1" i="5"/>
  <c r="EB1" i="5"/>
  <c r="ED1" i="5"/>
  <c r="EE1" i="5"/>
  <c r="EF1" i="5"/>
  <c r="EG1" i="5"/>
  <c r="EH1" i="5"/>
  <c r="EI1" i="5"/>
  <c r="EJ1" i="5"/>
  <c r="EK1" i="5"/>
  <c r="EL1" i="5"/>
  <c r="EM1" i="5"/>
  <c r="EN1" i="5"/>
  <c r="EO1" i="5"/>
  <c r="EP1" i="5"/>
  <c r="EQ1" i="5"/>
  <c r="ER1" i="5"/>
  <c r="ES1" i="5"/>
  <c r="ET1" i="5"/>
  <c r="EU1" i="5"/>
  <c r="EV1" i="5"/>
  <c r="EW1" i="5"/>
  <c r="EX1" i="5"/>
  <c r="EY1" i="5"/>
  <c r="EZ1" i="5"/>
  <c r="FA1" i="5"/>
  <c r="FB1" i="5"/>
  <c r="FC1" i="5"/>
  <c r="FD1" i="5"/>
  <c r="FE1" i="5"/>
  <c r="FF1" i="5"/>
  <c r="FG1" i="5"/>
  <c r="FH1" i="5"/>
  <c r="FI1" i="5"/>
  <c r="FJ1" i="5"/>
  <c r="FK1" i="5"/>
  <c r="FL1" i="5"/>
  <c r="FM1" i="5"/>
  <c r="FN1" i="5"/>
  <c r="FO1" i="5"/>
  <c r="FP1" i="5"/>
  <c r="FQ1" i="5"/>
  <c r="FR1" i="5"/>
  <c r="FS1" i="5"/>
  <c r="FT1" i="5"/>
  <c r="FU1" i="5"/>
  <c r="FV1" i="5"/>
  <c r="FW1" i="5"/>
  <c r="FX1" i="5"/>
  <c r="FY1" i="5"/>
  <c r="FZ1" i="5"/>
  <c r="GA1" i="5"/>
  <c r="GB1" i="5"/>
  <c r="GC1" i="5"/>
  <c r="GD1" i="5"/>
  <c r="GE1" i="5"/>
  <c r="GF1" i="5"/>
  <c r="GG1" i="5"/>
  <c r="GH1" i="5"/>
  <c r="GI1" i="5"/>
  <c r="GJ1" i="5"/>
  <c r="GK1" i="5"/>
  <c r="GL1" i="5"/>
  <c r="GM1" i="5"/>
  <c r="GN1" i="5"/>
  <c r="GO1" i="5"/>
  <c r="GP1" i="5"/>
  <c r="GQ1" i="5"/>
  <c r="GR1" i="5"/>
  <c r="GS1" i="5"/>
  <c r="GT1" i="5"/>
  <c r="GU1" i="5"/>
  <c r="GV1" i="5"/>
  <c r="GW1" i="5"/>
  <c r="GX1" i="5"/>
  <c r="GY1" i="5"/>
  <c r="GZ1" i="5"/>
  <c r="HA1" i="5"/>
  <c r="HB1" i="5"/>
  <c r="HC1" i="5"/>
  <c r="HD1" i="5"/>
  <c r="HE1" i="5"/>
  <c r="HF1" i="5"/>
  <c r="HG1" i="5"/>
  <c r="HH1" i="5"/>
  <c r="HI1" i="5"/>
  <c r="HJ1" i="5"/>
  <c r="HK1" i="5"/>
  <c r="HL1" i="5"/>
  <c r="HM1" i="5"/>
  <c r="HN1" i="5"/>
  <c r="HO1" i="5"/>
  <c r="HP1" i="5"/>
  <c r="HQ1" i="5"/>
  <c r="HR1" i="5"/>
  <c r="HS1" i="5"/>
  <c r="HT1" i="5"/>
  <c r="HU1" i="5"/>
  <c r="HV1" i="5"/>
  <c r="HW1" i="5"/>
  <c r="HX1" i="5"/>
  <c r="HY1" i="5"/>
  <c r="HZ1" i="5"/>
  <c r="IA1" i="5"/>
  <c r="IB1" i="5"/>
  <c r="IC1" i="5"/>
  <c r="ID1" i="5"/>
  <c r="IE1" i="5"/>
  <c r="IF1" i="5"/>
  <c r="IG1" i="5"/>
  <c r="IH1" i="5"/>
  <c r="II1" i="5"/>
  <c r="IJ1" i="5"/>
  <c r="IK1" i="5"/>
  <c r="IL1" i="5"/>
  <c r="IM1" i="5"/>
  <c r="IN1" i="5"/>
  <c r="IO1" i="5"/>
  <c r="IP1" i="5"/>
  <c r="IQ1" i="5"/>
  <c r="IR1" i="5"/>
  <c r="IS1" i="5"/>
  <c r="IT1" i="5"/>
  <c r="IU1" i="5"/>
  <c r="IV1" i="5"/>
  <c r="A2" i="5"/>
  <c r="B2" i="5"/>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AG2" i="5"/>
  <c r="AH2" i="5"/>
  <c r="AI2" i="5"/>
  <c r="AJ2" i="5"/>
  <c r="AK2" i="5"/>
  <c r="AL2" i="5"/>
  <c r="AM2" i="5"/>
  <c r="AN2" i="5"/>
  <c r="AO2" i="5"/>
  <c r="AP2" i="5"/>
  <c r="AQ2" i="5"/>
  <c r="AR2" i="5"/>
  <c r="AS2" i="5"/>
  <c r="AT2" i="5"/>
  <c r="AU2" i="5"/>
  <c r="AV2" i="5"/>
  <c r="AW2" i="5"/>
  <c r="AX2" i="5"/>
  <c r="AY2" i="5"/>
  <c r="AZ2" i="5"/>
  <c r="BA2" i="5"/>
  <c r="BB2" i="5"/>
  <c r="BC2" i="5"/>
  <c r="BD2" i="5"/>
  <c r="BE2" i="5"/>
  <c r="BF2" i="5"/>
  <c r="BG2" i="5"/>
  <c r="BH2" i="5"/>
  <c r="BI2" i="5"/>
  <c r="BJ2" i="5"/>
  <c r="BK2" i="5"/>
  <c r="BL2" i="5"/>
  <c r="BM2" i="5"/>
  <c r="BN2" i="5"/>
  <c r="BO2" i="5"/>
  <c r="BP2" i="5"/>
  <c r="BQ2" i="5"/>
  <c r="BR2" i="5"/>
  <c r="BS2" i="5"/>
  <c r="BT2" i="5"/>
  <c r="BU2" i="5"/>
  <c r="BV2" i="5"/>
  <c r="BW2" i="5"/>
  <c r="BX2" i="5"/>
  <c r="BY2" i="5"/>
  <c r="BZ2" i="5"/>
  <c r="CA2" i="5"/>
  <c r="CB2" i="5"/>
  <c r="CC2" i="5"/>
  <c r="CD2" i="5"/>
  <c r="CE2" i="5"/>
  <c r="CF2" i="5"/>
  <c r="CG2" i="5"/>
  <c r="CH2" i="5"/>
  <c r="CI2" i="5"/>
  <c r="CJ2" i="5"/>
  <c r="CK2" i="5"/>
  <c r="CL2" i="5"/>
  <c r="CM2" i="5"/>
  <c r="CN2" i="5"/>
  <c r="CO2" i="5"/>
  <c r="CP2" i="5"/>
  <c r="CQ2" i="5"/>
  <c r="CR2" i="5"/>
  <c r="CS2" i="5"/>
  <c r="CT2" i="5"/>
  <c r="CU2" i="5"/>
  <c r="CV2" i="5"/>
  <c r="CW2" i="5"/>
  <c r="CX2" i="5"/>
  <c r="CY2" i="5"/>
  <c r="CZ2" i="5"/>
  <c r="DA2" i="5"/>
  <c r="DB2" i="5"/>
  <c r="DC2" i="5"/>
  <c r="DD2" i="5"/>
  <c r="DE2" i="5"/>
  <c r="DF2" i="5"/>
  <c r="DG2" i="5"/>
  <c r="DH2" i="5"/>
  <c r="DI2" i="5"/>
  <c r="DJ2" i="5"/>
  <c r="DK2" i="5"/>
  <c r="DL2" i="5"/>
  <c r="DM2" i="5"/>
  <c r="DN2" i="5"/>
  <c r="DO2" i="5"/>
  <c r="DP2" i="5"/>
  <c r="DQ2" i="5"/>
  <c r="DR2" i="5"/>
  <c r="DS2" i="5"/>
  <c r="DT2" i="5"/>
  <c r="DU2" i="5"/>
  <c r="DV2" i="5"/>
  <c r="DW2" i="5"/>
  <c r="DX2" i="5"/>
  <c r="DY2" i="5"/>
  <c r="DZ2" i="5"/>
  <c r="EA2" i="5"/>
  <c r="EB2" i="5"/>
  <c r="EC2" i="5"/>
  <c r="ED2" i="5"/>
  <c r="EE2" i="5"/>
  <c r="EF2" i="5"/>
  <c r="EG2" i="5"/>
  <c r="EH2" i="5"/>
  <c r="EI2" i="5"/>
  <c r="EJ2" i="5"/>
  <c r="EK2" i="5"/>
  <c r="EL2" i="5"/>
  <c r="EM2" i="5"/>
  <c r="EN2" i="5"/>
  <c r="EO2" i="5"/>
  <c r="EP2" i="5"/>
  <c r="EQ2" i="5"/>
  <c r="ER2" i="5"/>
  <c r="ES2" i="5"/>
  <c r="ET2" i="5"/>
  <c r="EU2" i="5"/>
  <c r="EV2" i="5"/>
  <c r="EW2" i="5"/>
  <c r="EX2" i="5"/>
  <c r="EY2" i="5"/>
  <c r="EZ2" i="5"/>
  <c r="FA2" i="5"/>
  <c r="FB2" i="5"/>
  <c r="FC2" i="5"/>
  <c r="FD2" i="5"/>
  <c r="FE2" i="5"/>
  <c r="FF2" i="5"/>
  <c r="FG2" i="5"/>
  <c r="FH2" i="5"/>
  <c r="FI2" i="5"/>
  <c r="FJ2" i="5"/>
  <c r="FK2" i="5"/>
  <c r="FL2" i="5"/>
  <c r="FM2" i="5"/>
  <c r="FN2" i="5"/>
  <c r="FO2" i="5"/>
  <c r="FP2" i="5"/>
  <c r="FQ2" i="5"/>
  <c r="FR2" i="5"/>
  <c r="FS2" i="5"/>
  <c r="FT2" i="5"/>
  <c r="FU2" i="5"/>
  <c r="FV2" i="5"/>
  <c r="FW2" i="5"/>
  <c r="FX2" i="5"/>
  <c r="FY2" i="5"/>
  <c r="FZ2" i="5"/>
  <c r="GA2" i="5"/>
  <c r="GB2" i="5"/>
  <c r="GC2" i="5"/>
  <c r="GD2" i="5"/>
  <c r="GE2" i="5"/>
  <c r="GF2" i="5"/>
  <c r="GG2" i="5"/>
  <c r="GH2" i="5"/>
  <c r="GI2" i="5"/>
  <c r="GJ2" i="5"/>
  <c r="GK2" i="5"/>
  <c r="GL2" i="5"/>
  <c r="GM2" i="5"/>
  <c r="GN2" i="5"/>
  <c r="GO2" i="5"/>
  <c r="GP2" i="5"/>
  <c r="GQ2" i="5"/>
  <c r="GR2" i="5"/>
  <c r="GS2" i="5"/>
  <c r="GT2" i="5"/>
  <c r="GU2" i="5"/>
  <c r="GV2" i="5"/>
  <c r="GW2" i="5"/>
  <c r="GX2" i="5"/>
  <c r="GY2" i="5"/>
  <c r="GZ2" i="5"/>
  <c r="HA2" i="5"/>
  <c r="HB2" i="5"/>
  <c r="HC2" i="5"/>
  <c r="HD2" i="5"/>
  <c r="HE2" i="5"/>
  <c r="HF2" i="5"/>
  <c r="HG2" i="5"/>
  <c r="HH2" i="5"/>
  <c r="HI2" i="5"/>
  <c r="HJ2" i="5"/>
  <c r="HK2" i="5"/>
  <c r="HL2" i="5"/>
  <c r="HM2" i="5"/>
  <c r="HN2" i="5"/>
  <c r="HO2" i="5"/>
  <c r="HP2" i="5"/>
  <c r="HQ2" i="5"/>
  <c r="HR2" i="5"/>
  <c r="HS2" i="5"/>
  <c r="HT2" i="5"/>
  <c r="HU2" i="5"/>
  <c r="HV2" i="5"/>
  <c r="HW2" i="5"/>
  <c r="HX2" i="5"/>
  <c r="HY2" i="5"/>
  <c r="HZ2" i="5"/>
  <c r="IA2" i="5"/>
  <c r="IB2" i="5"/>
  <c r="IC2" i="5"/>
  <c r="ID2" i="5"/>
  <c r="IE2" i="5"/>
  <c r="IF2" i="5"/>
  <c r="IG2" i="5"/>
  <c r="IH2" i="5"/>
  <c r="II2" i="5"/>
  <c r="IJ2" i="5"/>
  <c r="IK2" i="5"/>
  <c r="IL2" i="5"/>
  <c r="IM2" i="5"/>
  <c r="IN2" i="5"/>
  <c r="IO2" i="5"/>
  <c r="IP2" i="5"/>
  <c r="IQ2" i="5"/>
  <c r="IR2" i="5"/>
  <c r="IS2" i="5"/>
  <c r="IT2" i="5"/>
  <c r="IU2" i="5"/>
  <c r="IV2" i="5"/>
  <c r="A3" i="5"/>
  <c r="B3" i="5"/>
  <c r="C3" i="5"/>
  <c r="D3" i="5"/>
  <c r="E3" i="5"/>
  <c r="F3" i="5"/>
  <c r="G3" i="5"/>
  <c r="H3" i="5"/>
  <c r="I3" i="5"/>
  <c r="J3" i="5"/>
  <c r="K3" i="5"/>
  <c r="L3" i="5"/>
  <c r="M3" i="5"/>
  <c r="N3" i="5"/>
  <c r="O3" i="5"/>
  <c r="P3" i="5"/>
  <c r="Q3" i="5"/>
  <c r="R3" i="5"/>
  <c r="S3" i="5"/>
  <c r="T3" i="5"/>
  <c r="U3" i="5"/>
  <c r="V3" i="5"/>
  <c r="W3"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CU3" i="5"/>
  <c r="CV3" i="5"/>
  <c r="CW3" i="5"/>
  <c r="CX3" i="5"/>
  <c r="CY3" i="5"/>
  <c r="CZ3" i="5"/>
  <c r="DA3" i="5"/>
  <c r="DB3" i="5"/>
  <c r="DC3" i="5"/>
  <c r="DD3" i="5"/>
  <c r="DE3" i="5"/>
  <c r="DF3" i="5"/>
  <c r="DG3" i="5"/>
  <c r="DH3" i="5"/>
  <c r="DI3" i="5"/>
  <c r="DJ3" i="5"/>
  <c r="DK3" i="5"/>
  <c r="DL3" i="5"/>
  <c r="DM3" i="5"/>
  <c r="DN3" i="5"/>
  <c r="DO3" i="5"/>
  <c r="DP3" i="5"/>
  <c r="DQ3" i="5"/>
  <c r="DR3" i="5"/>
  <c r="DS3" i="5"/>
  <c r="DT3" i="5"/>
  <c r="DU3" i="5"/>
  <c r="DV3" i="5"/>
  <c r="DW3" i="5"/>
  <c r="DX3" i="5"/>
  <c r="DY3" i="5"/>
  <c r="DZ3" i="5"/>
  <c r="EA3" i="5"/>
  <c r="EB3" i="5"/>
  <c r="EC3" i="5"/>
  <c r="ED3" i="5"/>
  <c r="EE3" i="5"/>
  <c r="EF3" i="5"/>
  <c r="EG3" i="5"/>
  <c r="EH3" i="5"/>
  <c r="EI3" i="5"/>
  <c r="EJ3" i="5"/>
  <c r="EK3" i="5"/>
  <c r="EL3" i="5"/>
  <c r="EM3" i="5"/>
  <c r="EN3" i="5"/>
  <c r="EO3" i="5"/>
  <c r="EP3" i="5"/>
  <c r="EQ3" i="5"/>
  <c r="ER3" i="5"/>
  <c r="ES3" i="5"/>
  <c r="ET3" i="5"/>
  <c r="EU3" i="5"/>
  <c r="EV3" i="5"/>
  <c r="EW3" i="5"/>
  <c r="EX3" i="5"/>
  <c r="EY3" i="5"/>
  <c r="EZ3" i="5"/>
  <c r="FA3" i="5"/>
  <c r="FB3" i="5"/>
  <c r="FC3" i="5"/>
  <c r="FD3" i="5"/>
  <c r="FE3" i="5"/>
  <c r="FF3" i="5"/>
  <c r="FG3" i="5"/>
  <c r="FH3" i="5"/>
  <c r="FI3" i="5"/>
  <c r="FJ3" i="5"/>
  <c r="FK3" i="5"/>
  <c r="FL3" i="5"/>
  <c r="FM3" i="5"/>
  <c r="FN3" i="5"/>
  <c r="FO3" i="5"/>
  <c r="FP3" i="5"/>
  <c r="FQ3" i="5"/>
  <c r="FR3" i="5"/>
  <c r="FS3" i="5"/>
  <c r="FT3" i="5"/>
  <c r="FU3" i="5"/>
  <c r="FV3" i="5"/>
  <c r="FW3" i="5"/>
  <c r="FX3" i="5"/>
  <c r="FY3" i="5"/>
  <c r="FZ3" i="5"/>
  <c r="GA3" i="5"/>
  <c r="GB3" i="5"/>
  <c r="GC3" i="5"/>
  <c r="GD3" i="5"/>
  <c r="GE3" i="5"/>
  <c r="GF3" i="5"/>
  <c r="GG3" i="5"/>
  <c r="GH3" i="5"/>
  <c r="GI3" i="5"/>
  <c r="GJ3" i="5"/>
  <c r="GK3" i="5"/>
  <c r="GL3" i="5"/>
  <c r="GM3" i="5"/>
  <c r="GN3" i="5"/>
  <c r="GO3" i="5"/>
  <c r="GP3" i="5"/>
  <c r="GQ3" i="5"/>
  <c r="GR3" i="5"/>
  <c r="GS3" i="5"/>
  <c r="GT3" i="5"/>
  <c r="GU3" i="5"/>
  <c r="GV3" i="5"/>
  <c r="GW3" i="5"/>
  <c r="GX3" i="5"/>
  <c r="GY3" i="5"/>
  <c r="GZ3" i="5"/>
  <c r="HA3" i="5"/>
  <c r="HB3" i="5"/>
  <c r="HC3" i="5"/>
  <c r="HD3" i="5"/>
  <c r="HE3" i="5"/>
  <c r="HF3" i="5"/>
  <c r="HG3" i="5"/>
  <c r="HH3" i="5"/>
  <c r="HI3" i="5"/>
  <c r="HJ3" i="5"/>
  <c r="HK3" i="5"/>
  <c r="HL3" i="5"/>
  <c r="HM3" i="5"/>
  <c r="HN3" i="5"/>
  <c r="HO3" i="5"/>
  <c r="HP3" i="5"/>
  <c r="HQ3" i="5"/>
  <c r="HR3" i="5"/>
  <c r="HS3" i="5"/>
  <c r="HT3" i="5"/>
  <c r="HU3" i="5"/>
  <c r="HV3" i="5"/>
  <c r="HW3" i="5"/>
  <c r="HX3" i="5"/>
  <c r="HY3" i="5"/>
  <c r="HZ3" i="5"/>
  <c r="IA3" i="5"/>
  <c r="IB3" i="5"/>
  <c r="IC3" i="5"/>
  <c r="ID3" i="5"/>
  <c r="IE3" i="5"/>
  <c r="IF3" i="5"/>
  <c r="IG3" i="5"/>
  <c r="IH3" i="5"/>
  <c r="II3" i="5"/>
  <c r="IJ3" i="5"/>
  <c r="IK3" i="5"/>
  <c r="IL3" i="5"/>
  <c r="IM3" i="5"/>
  <c r="IN3" i="5"/>
  <c r="IO3" i="5"/>
  <c r="IP3" i="5"/>
  <c r="IQ3" i="5"/>
  <c r="IR3" i="5"/>
  <c r="IS3" i="5"/>
  <c r="IT3" i="5"/>
  <c r="IU3" i="5"/>
  <c r="IV3" i="5"/>
  <c r="A4" i="5"/>
  <c r="B4" i="5"/>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AM4" i="5"/>
  <c r="A5" i="5"/>
  <c r="B5" i="5"/>
  <c r="C5" i="5"/>
  <c r="D5" i="5"/>
  <c r="E5" i="5"/>
  <c r="F5" i="5"/>
  <c r="G5" i="5"/>
  <c r="H5" i="5"/>
  <c r="I5" i="5"/>
  <c r="J5" i="5"/>
  <c r="K5" i="5"/>
  <c r="L5" i="5"/>
  <c r="M5" i="5"/>
  <c r="N5" i="5"/>
  <c r="O5" i="5"/>
  <c r="P5" i="5"/>
  <c r="Q5" i="5"/>
  <c r="AI4" i="5"/>
  <c r="F14" i="2" l="1"/>
  <c r="I41" i="3"/>
  <c r="I44" i="3"/>
  <c r="D17" i="2" s="1"/>
  <c r="DU1" i="5" s="1"/>
  <c r="I40" i="3"/>
  <c r="I42" i="3"/>
  <c r="I43" i="3"/>
  <c r="D16" i="2" s="1"/>
  <c r="DM1" i="5" s="1"/>
  <c r="I45" i="3"/>
  <c r="D18" i="2" s="1"/>
  <c r="EC1" i="5" s="1"/>
  <c r="CY1" i="5" l="1"/>
  <c r="I47" i="3"/>
  <c r="I48" i="3" s="1"/>
  <c r="I49" i="3" s="1"/>
  <c r="D14" i="2"/>
  <c r="CW1" i="5" s="1"/>
  <c r="D15" i="2"/>
  <c r="DE1" i="5" s="1"/>
</calcChain>
</file>

<file path=xl/sharedStrings.xml><?xml version="1.0" encoding="utf-8"?>
<sst xmlns="http://schemas.openxmlformats.org/spreadsheetml/2006/main" count="424" uniqueCount="201">
  <si>
    <t>CourseTitle Platform</t>
  </si>
  <si>
    <t>TRAINING TOPIC SYLLABUS</t>
  </si>
  <si>
    <t>Document Code</t>
  </si>
  <si>
    <t>26e-BM/HR/HDCV/FSOFT</t>
  </si>
  <si>
    <t>Version</t>
  </si>
  <si>
    <t>1.0</t>
  </si>
  <si>
    <t>Effective Date</t>
  </si>
  <si>
    <t>Platform App Builder - Beginer Level - Syllabus</t>
  </si>
  <si>
    <t>&lt;Upgraded with latest Salesforce Trailhead course</t>
  </si>
  <si>
    <t>Based on this, Content owner will make courseware and develop storyboarding for conpresensive course&gt;</t>
  </si>
  <si>
    <t>Topic Name</t>
  </si>
  <si>
    <t>- Platform App Builder [For Dev, Admin]</t>
    <phoneticPr fontId="23"/>
  </si>
  <si>
    <t>Topic Code</t>
  </si>
  <si>
    <t>- SF2024 K1</t>
    <phoneticPr fontId="23"/>
  </si>
  <si>
    <t>Training Method(s)</t>
  </si>
  <si>
    <t>- Online and Offline</t>
  </si>
  <si>
    <t>Training Audience</t>
  </si>
  <si>
    <t>- Freshers, Internships, Software Developers, Rotation of FSOFTERs</t>
  </si>
  <si>
    <t>Prerequisites of knowledge</t>
  </si>
  <si>
    <t>- Basic Knowledge of Salesforce Platform is preferred but not mandatory</t>
  </si>
  <si>
    <t>Course Objectives</t>
  </si>
  <si>
    <t>- Understand how to design, build, and deploy custom applications using the declarative customization capabilities of the Lightning Platform</t>
  </si>
  <si>
    <t>Course Outcome</t>
  </si>
  <si>
    <t>- You can configure Salesforce custom objects, fields, and user interfaces using the Lightning App Builder.
- You can become proficient in automating business processes with Process Builder, Flow, and Workflow Rules.
- You will learn to manage user access, create and analyze reports and dashboards, and handle application deployment.</t>
  </si>
  <si>
    <t>Topic Outline</t>
  </si>
  <si>
    <r>
      <rPr>
        <b/>
        <i/>
        <sz val="10"/>
        <rFont val="Aarial"/>
        <family val="2"/>
      </rPr>
      <t>Module 1: Salesforce Fundamentals 30%</t>
    </r>
    <r>
      <rPr>
        <i/>
        <sz val="10"/>
        <rFont val="Aarial"/>
        <family val="2"/>
      </rPr>
      <t xml:space="preserve">
'Unit 1 Lightning Experience Customization
Unit 2 Service Cloud for Lightning Experience
Unit 3 AppExchange Solutions
Unit 4 Data Security
Unit 5 Identity Basics
Unit 6 Reports &amp; Dashboards for Lightning Experience
Unit 7 Create Reports and Dashboards for Sales and Marketing Managers
Unit 8 Lightning Experience Reports &amp; Dashboards Specialist
Unit 9 Chatter Administration for Lightning Experience
</t>
    </r>
    <r>
      <rPr>
        <b/>
        <i/>
        <sz val="10"/>
        <rFont val="Aarial"/>
        <family val="2"/>
      </rPr>
      <t>Module 2: Data Modeling and Management 22%</t>
    </r>
    <r>
      <rPr>
        <i/>
        <sz val="10"/>
        <rFont val="Aarial"/>
        <family val="2"/>
      </rPr>
      <t xml:space="preserve">
Unit 10 Leads and Opportunities
Unit 11 Data Modeling
Unit 12 Data Management
Unit 13 Picklist Administration
Unit 14 Duplicate Management
Unit 15 Data Quality Specialist Superbadge
Unit 16 Data Model Optimization Specialist Superbadge</t>
    </r>
    <phoneticPr fontId="23"/>
  </si>
  <si>
    <r>
      <rPr>
        <b/>
        <i/>
        <sz val="10"/>
        <color rgb="FF000000"/>
        <rFont val="Aarial"/>
      </rPr>
      <t xml:space="preserve">Module 3: Business Logic and Process Automation 28%
</t>
    </r>
    <r>
      <rPr>
        <i/>
        <sz val="10"/>
        <color rgb="FF000000"/>
        <rFont val="Aarial"/>
      </rPr>
      <t xml:space="preserve">Unit 17 Formulas and Validations
Unit 18 Formula Operators and Functions
Unit 19 Approve Records with Approval Processes
Unit 20 Screen Flow Distribution
Unit 21 Lightning Experience Productivity
Unit 22 Which Automation Tool Do I Use?
Unit 23 Build a Space Station App
</t>
    </r>
    <r>
      <rPr>
        <b/>
        <i/>
        <sz val="10"/>
        <color rgb="FF000000"/>
        <rFont val="Aarial"/>
      </rPr>
      <t xml:space="preserve">Module 4: User Interface 17%
</t>
    </r>
    <r>
      <rPr>
        <i/>
        <sz val="10"/>
        <color rgb="FF000000"/>
        <rFont val="Aarial"/>
      </rPr>
      <t xml:space="preserve">Unit 24 Lightning App Builder
</t>
    </r>
    <r>
      <rPr>
        <b/>
        <i/>
        <sz val="10"/>
        <color rgb="FF000000"/>
        <rFont val="Aarial"/>
      </rPr>
      <t xml:space="preserve">
Module 5: App Deployment 10%
</t>
    </r>
    <r>
      <rPr>
        <i/>
        <sz val="10"/>
        <color rgb="FF000000"/>
        <rFont val="Aarial"/>
      </rPr>
      <t xml:space="preserve">Unit 25 Org Development Model
Unit 26 Package Development Model
</t>
    </r>
    <r>
      <rPr>
        <b/>
        <i/>
        <sz val="10"/>
        <color rgb="FF000000"/>
        <rFont val="Aarial"/>
      </rPr>
      <t xml:space="preserve">
Module 6: Additional Preparation
</t>
    </r>
    <r>
      <rPr>
        <i/>
        <sz val="10"/>
        <color rgb="FF000000"/>
        <rFont val="Aarial"/>
      </rPr>
      <t>Unit 27 Study for the Platform App Builder Exam</t>
    </r>
    <phoneticPr fontId="23"/>
  </si>
  <si>
    <t>Expected Achievement</t>
  </si>
  <si>
    <t>Type of Achievement</t>
  </si>
  <si>
    <t>International Certificate</t>
  </si>
  <si>
    <t>Salesforce Certified Platform App Builder</t>
  </si>
  <si>
    <t>Salesforce</t>
  </si>
  <si>
    <t>Time Allocation</t>
  </si>
  <si>
    <t>Concept/Lecture</t>
  </si>
  <si>
    <t>&lt;Concepts, theory&gt;</t>
  </si>
  <si>
    <t>Assignment/Lab</t>
  </si>
  <si>
    <t>&lt;Assignment, Lab&gt;</t>
  </si>
  <si>
    <t>Guides/Review</t>
  </si>
  <si>
    <t>&lt;Quiz, assignment review, Assignment guides&gt;</t>
  </si>
  <si>
    <t>Test/Quiz</t>
  </si>
  <si>
    <t>&lt;Daily quiz&gt;</t>
  </si>
  <si>
    <t>Exam or Mock/Hands-on Project</t>
  </si>
  <si>
    <t>&lt;Pre-Test, Final Topic Test, or Hands-on Project or Mock Project&gt;</t>
  </si>
  <si>
    <t>Training Materials &amp; Environments</t>
  </si>
  <si>
    <t>Online course(s)</t>
  </si>
  <si>
    <t>https://trailhead.salesforce.com/ja/users/strailhead/trailmixes/prepare-for-your-salesforce-platform-app-builder-credential</t>
  </si>
  <si>
    <t>References</t>
  </si>
  <si>
    <t>1. https://trailhead.salesforce.com/ja/users/strailhead/trailmixes/prepare-for-your-salesforce-platform-app-builder-credential
2. https://www.udemy.com/course/salesforce-platform-app-builder/?utm_source=bing&amp;utm_medium=udemyads&amp;utm_campaign=BG-Search_DSA_Beta_Prof_la.EN_cc.ROW-English&amp;campaigntype=Search&amp;portfolio=Bing&amp;language=EN&amp;product=Course&amp;test=&amp;audience=DSA&amp;topic=&amp;priority=Beta&amp;utm_content=deal4584&amp;utm_term=_._ag_1326013411676364_._ad__._kw_IT+en_._de_c_._dm__._pl__._ti_dat-2334675503276564%3Aloc-96_._li_140145_._pd__._&amp;matchtype=b&amp;msclkid=89bd0e02dcbc12d3330c68e097f69248&amp;couponCode=ST17MT91224B</t>
    <phoneticPr fontId="23"/>
  </si>
  <si>
    <t>Technical requirements</t>
  </si>
  <si>
    <t>Not required</t>
  </si>
  <si>
    <t>Assessment Scheme</t>
  </si>
  <si>
    <t>Quiz</t>
  </si>
  <si>
    <t>80% passed assigned quiz of the lessons</t>
  </si>
  <si>
    <t>Assignments</t>
  </si>
  <si>
    <t>100% completed all assigned assignments of the course</t>
  </si>
  <si>
    <t>Passing criteria</t>
  </si>
  <si>
    <t>80% passed assigned functions in the mock project</t>
  </si>
  <si>
    <t>Training Delivery Principles</t>
  </si>
  <si>
    <t>Trainee(s)</t>
  </si>
  <si>
    <t>Attached the list of mentee(s)</t>
  </si>
  <si>
    <t>Trainer(s)</t>
  </si>
  <si>
    <t>Included the list of mentor(s) in Schedule sheet</t>
  </si>
  <si>
    <t>Training</t>
  </si>
  <si>
    <t>Mentees actively learn lessons of course(s) that agreed between mentees and mentor(s).
Mentees must join weekly discussions, during the mentoring program according schedule.
Mentors will assist mentees in answering questions and fixing issues if any.
Mentors do final assessments through hands-on projects or mock projects.</t>
  </si>
  <si>
    <t>Re-Test</t>
  </si>
  <si>
    <t>Allow mentee(s) retest or rework hands-on project or mock project</t>
  </si>
  <si>
    <t>Marking</t>
  </si>
  <si>
    <t>Waiver Criteria</t>
  </si>
  <si>
    <t>Others</t>
  </si>
  <si>
    <t>Time for Mentee</t>
  </si>
  <si>
    <t>Time for Mentor</t>
  </si>
  <si>
    <t>Lesson or Section</t>
  </si>
  <si>
    <t>Lesson or Section Title</t>
  </si>
  <si>
    <t>Date</t>
  </si>
  <si>
    <t>Skills</t>
  </si>
  <si>
    <t>Learning Method</t>
  </si>
  <si>
    <t>Delivery Mode</t>
  </si>
  <si>
    <t>Duration (mins)</t>
  </si>
  <si>
    <t>Trainer or Mentor</t>
  </si>
  <si>
    <t>Training Format</t>
  </si>
  <si>
    <t>Training Materials / Logistics &amp; General Notes
(Required, For Reference, etc.)</t>
  </si>
  <si>
    <t>Module 1</t>
    <phoneticPr fontId="23"/>
  </si>
  <si>
    <t>Salesforce Fundamentals Part 1</t>
    <phoneticPr fontId="23"/>
  </si>
  <si>
    <t>Salesforce Fundamentals 30%</t>
    <phoneticPr fontId="23"/>
  </si>
  <si>
    <t>Mentor-assisted learning</t>
  </si>
  <si>
    <t>Lecture/Theory</t>
  </si>
  <si>
    <t>HanhNT8</t>
    <phoneticPr fontId="23"/>
  </si>
  <si>
    <t>Offline</t>
  </si>
  <si>
    <t>TBD</t>
    <phoneticPr fontId="23"/>
  </si>
  <si>
    <t>Unit / Lesson 1</t>
  </si>
  <si>
    <t>Lightning Experience Customization</t>
  </si>
  <si>
    <t>Salesforce Fundamentals</t>
  </si>
  <si>
    <t>Self-paced learning</t>
  </si>
  <si>
    <t>-</t>
    <phoneticPr fontId="23"/>
  </si>
  <si>
    <t>Online</t>
  </si>
  <si>
    <t>https://trailhead.salesforce.com/users/strailhead/trailmixes/prepare-for-your-salesforce-platform-app-builder-credential</t>
  </si>
  <si>
    <t>Unit / Lesson 2</t>
  </si>
  <si>
    <t>Service Cloud for Lightning Experience</t>
  </si>
  <si>
    <t>Unit / Lesson 3</t>
  </si>
  <si>
    <t>AppExchange Solutions</t>
  </si>
  <si>
    <t>Unit / Lesson 4</t>
  </si>
  <si>
    <t>Data Security</t>
    <phoneticPr fontId="23"/>
  </si>
  <si>
    <t>Unit / Lesson 5</t>
  </si>
  <si>
    <t>Identity Basics</t>
    <phoneticPr fontId="23"/>
  </si>
  <si>
    <t>Salesforce Fundamentals Part 2</t>
    <phoneticPr fontId="23"/>
  </si>
  <si>
    <t>Unit / Lesson 6</t>
  </si>
  <si>
    <t>Reports &amp; Dashboards for Lightning Experience</t>
  </si>
  <si>
    <t>Unit / Lesson 7</t>
  </si>
  <si>
    <t>Create Reports and Dashboards for Sales and Marketing Managers</t>
  </si>
  <si>
    <t>Exam/Project</t>
  </si>
  <si>
    <t>Unit / Lesson 8</t>
  </si>
  <si>
    <t>Lightning Experience Reports &amp; Dashboards Specialist</t>
  </si>
  <si>
    <t>Unit / Lesson 9</t>
  </si>
  <si>
    <t>Chatter Administration for Lightning Experience</t>
  </si>
  <si>
    <t>Module 2</t>
    <phoneticPr fontId="23"/>
  </si>
  <si>
    <t xml:space="preserve">Data Modeling and Management </t>
  </si>
  <si>
    <t>Data Modeling and Management 22%</t>
    <phoneticPr fontId="23"/>
  </si>
  <si>
    <t>DungNTN5</t>
    <phoneticPr fontId="23"/>
  </si>
  <si>
    <t>Unit / Lesson 10</t>
  </si>
  <si>
    <t>Leads and Opportunities</t>
  </si>
  <si>
    <t>Data Modeling and Management</t>
  </si>
  <si>
    <t>Unit / Lesson 11</t>
  </si>
  <si>
    <t>Data Modeling</t>
  </si>
  <si>
    <t>Unit / Lesson 12</t>
  </si>
  <si>
    <t>Data Management</t>
  </si>
  <si>
    <t>Unit / Lesson 13</t>
  </si>
  <si>
    <t>Picklist Administration</t>
  </si>
  <si>
    <t>Unit / Lesson 14</t>
  </si>
  <si>
    <t>Duplicate Management</t>
  </si>
  <si>
    <t>Unit / Lesson 15</t>
  </si>
  <si>
    <t>Data Quality Specialist Superbadge</t>
  </si>
  <si>
    <t>Unit / Lesson 16</t>
  </si>
  <si>
    <t>Data Model Optimization Specialist Superbadge</t>
  </si>
  <si>
    <t>Module 3</t>
    <phoneticPr fontId="23"/>
  </si>
  <si>
    <t>Business Logic and Process Automation</t>
    <phoneticPr fontId="23"/>
  </si>
  <si>
    <t>Business Logic and Process Automation 28%</t>
    <phoneticPr fontId="23"/>
  </si>
  <si>
    <t>Unit / Lesson 17</t>
  </si>
  <si>
    <t>Formulas and Validations</t>
  </si>
  <si>
    <t>Business Logic and Process Automation</t>
  </si>
  <si>
    <t>Unit / Lesson 18</t>
  </si>
  <si>
    <t>Formula Operators and Functions</t>
  </si>
  <si>
    <t>Unit / Lesson 19</t>
  </si>
  <si>
    <t>Approve Records with Approval Processes</t>
  </si>
  <si>
    <t>Unit / Lesson 20</t>
  </si>
  <si>
    <t>Screen Flow Distribution</t>
  </si>
  <si>
    <t>Unit / Lesson 21</t>
  </si>
  <si>
    <t>Lightning Experience Productivity</t>
  </si>
  <si>
    <t>Unit / Lesson 22</t>
  </si>
  <si>
    <t>Which Automation Tool Do I Use?</t>
  </si>
  <si>
    <t>Unit / Lesson 23</t>
  </si>
  <si>
    <t>Build a Space Station App</t>
  </si>
  <si>
    <t>Module 4,5</t>
    <phoneticPr fontId="23"/>
  </si>
  <si>
    <t xml:space="preserve">User Interface
App Deployment </t>
    <phoneticPr fontId="23"/>
  </si>
  <si>
    <t>User Interface 17%
App Deployment 10%</t>
    <phoneticPr fontId="23"/>
  </si>
  <si>
    <t>DungNTN5</t>
  </si>
  <si>
    <t>Unit / Lesson 24</t>
  </si>
  <si>
    <t>Lightning App Builder</t>
  </si>
  <si>
    <t>User Interface</t>
  </si>
  <si>
    <t>Unit / Lesson 25</t>
  </si>
  <si>
    <t>Org Development Model</t>
  </si>
  <si>
    <t>App Deployment</t>
  </si>
  <si>
    <t>Unit / Lesson 26</t>
  </si>
  <si>
    <t>Package Development Model</t>
  </si>
  <si>
    <t>Unit / Lesson 27</t>
  </si>
  <si>
    <t>Study for the Platform App Builder Exam</t>
  </si>
  <si>
    <t>Additional Preparation</t>
  </si>
  <si>
    <t>Exam Preparation</t>
    <phoneticPr fontId="23"/>
  </si>
  <si>
    <t>Prepare Int. Exam</t>
  </si>
  <si>
    <t>Seft Review</t>
    <phoneticPr fontId="23"/>
  </si>
  <si>
    <t>2024/10/24~29</t>
  </si>
  <si>
    <t>Exam</t>
    <phoneticPr fontId="23"/>
  </si>
  <si>
    <t>- Content: 60 multiple-choice/multiple-select questions
- Time: 105 minutes
- Passing score: 63%
- Registration fee: US$200
- Retake fee: $100</t>
    <phoneticPr fontId="23"/>
  </si>
  <si>
    <t>Mixed Methods</t>
  </si>
  <si>
    <t>Total minutes</t>
  </si>
  <si>
    <t>Total hours</t>
  </si>
  <si>
    <t>Total days</t>
  </si>
  <si>
    <t>Course ~</t>
  </si>
  <si>
    <t>months</t>
  </si>
  <si>
    <t>Excluded Prepare Int. Exam</t>
  </si>
  <si>
    <t>AUTHORSHIP</t>
  </si>
  <si>
    <t>Role</t>
  </si>
  <si>
    <t>Name</t>
  </si>
  <si>
    <t>Account</t>
  </si>
  <si>
    <t>Unit</t>
  </si>
  <si>
    <t>Notes</t>
  </si>
  <si>
    <t>Creator</t>
  </si>
  <si>
    <t>Dung Nguyen Thi Ngoc</t>
  </si>
  <si>
    <t>LCG</t>
  </si>
  <si>
    <t>Reviewer</t>
  </si>
  <si>
    <t>Approver</t>
  </si>
  <si>
    <t>RECORD OF CHANGES</t>
  </si>
  <si>
    <t>*A - Added M - Modified D - Deleted</t>
  </si>
  <si>
    <t>Changes</t>
  </si>
  <si>
    <t>A*, M, D</t>
  </si>
  <si>
    <t>Description</t>
  </si>
  <si>
    <t>Create new syllabus</t>
  </si>
  <si>
    <t>A</t>
  </si>
  <si>
    <t>Create new syllabus, schedule</t>
  </si>
  <si>
    <t>AAAAAH/rVCM=</t>
  </si>
  <si>
    <t>AAAAAH/rVCQ=</t>
  </si>
  <si>
    <t>AAAAAH/rVCU=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</si>
</sst>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_);_(@_)"/>
    <numFmt numFmtId="165" formatCode="[$-409]d\-mmm\-yyyy;@"/>
    <numFmt numFmtId="166" formatCode="[$-409]d\-mmm\-yy"/>
    <numFmt numFmtId="167" formatCode="_-[$€-2]* #,##0.00_-;\-[$€-2]* #,##0.00_-;_-[$€-2]* &quot;-&quot;??_-"/>
    <numFmt numFmtId="168" formatCode="0.0"/>
  </numFmts>
  <fonts count="32">
    <font>
      <sz val="10"/>
      <color indexed="8"/>
      <name val="Arial"/>
      <family val="2"/>
    </font>
    <font>
      <sz val="11"/>
      <color indexed="8"/>
      <name val="Calibri"/>
      <family val="2"/>
    </font>
    <font>
      <sz val="10"/>
      <name val="Arial"/>
      <family val="2"/>
    </font>
    <font>
      <sz val="10"/>
      <name val="Tahoma"/>
      <family val="2"/>
    </font>
    <font>
      <b/>
      <sz val="12"/>
      <name val="Tahoma"/>
      <family val="2"/>
    </font>
    <font>
      <sz val="10"/>
      <name val="Arial"/>
      <family val="2"/>
      <charset val="163"/>
    </font>
    <font>
      <sz val="11"/>
      <color indexed="8"/>
      <name val="Arial"/>
      <family val="2"/>
      <charset val="163"/>
    </font>
    <font>
      <i/>
      <sz val="14"/>
      <color indexed="16"/>
      <name val="Arial"/>
      <family val="2"/>
      <charset val="163"/>
    </font>
    <font>
      <b/>
      <sz val="10"/>
      <color indexed="16"/>
      <name val="Arial"/>
      <family val="2"/>
    </font>
    <font>
      <b/>
      <sz val="10"/>
      <name val="Arial"/>
      <family val="2"/>
    </font>
    <font>
      <sz val="10"/>
      <name val="Aarial"/>
    </font>
    <font>
      <b/>
      <sz val="14"/>
      <name val="Aarial"/>
    </font>
    <font>
      <i/>
      <sz val="10"/>
      <name val="Aarial"/>
    </font>
    <font>
      <b/>
      <sz val="10"/>
      <name val="Aarial"/>
    </font>
    <font>
      <b/>
      <i/>
      <sz val="10"/>
      <name val="Aarial"/>
    </font>
    <font>
      <b/>
      <sz val="14"/>
      <name val="Arial"/>
      <family val="2"/>
    </font>
    <font>
      <b/>
      <sz val="10"/>
      <color indexed="8"/>
      <name val="Arial"/>
      <family val="2"/>
    </font>
    <font>
      <sz val="10"/>
      <color indexed="8"/>
      <name val="Arial"/>
      <family val="2"/>
    </font>
    <font>
      <u/>
      <sz val="10"/>
      <color theme="10"/>
      <name val="Arial"/>
      <family val="2"/>
    </font>
    <font>
      <sz val="10"/>
      <color theme="1"/>
      <name val="Arial"/>
      <family val="2"/>
    </font>
    <font>
      <b/>
      <i/>
      <sz val="16"/>
      <color indexed="16"/>
      <name val="Arial"/>
      <family val="2"/>
      <charset val="163"/>
    </font>
    <font>
      <b/>
      <sz val="26"/>
      <color indexed="16"/>
      <name val="Arial"/>
      <family val="2"/>
    </font>
    <font>
      <i/>
      <sz val="10"/>
      <color rgb="FF000000"/>
      <name val="Aarial"/>
    </font>
    <font>
      <sz val="6"/>
      <name val="ＭＳ Ｐゴシック"/>
      <family val="3"/>
      <charset val="128"/>
    </font>
    <font>
      <i/>
      <sz val="10"/>
      <name val="Aarial"/>
      <family val="2"/>
    </font>
    <font>
      <b/>
      <i/>
      <sz val="10"/>
      <color rgb="FF000000"/>
      <name val="Aarial"/>
    </font>
    <font>
      <b/>
      <i/>
      <sz val="10"/>
      <name val="Aarial"/>
      <family val="2"/>
    </font>
    <font>
      <b/>
      <sz val="10"/>
      <color theme="1"/>
      <name val="Arial"/>
      <family val="2"/>
    </font>
    <font>
      <b/>
      <u/>
      <sz val="10"/>
      <color theme="10"/>
      <name val="Arial"/>
      <family val="2"/>
    </font>
    <font>
      <b/>
      <sz val="10"/>
      <color rgb="FFFF0000"/>
      <name val="Arial"/>
      <family val="2"/>
    </font>
    <font>
      <b/>
      <sz val="10"/>
      <color rgb="FF00B050"/>
      <name val="Arial"/>
      <family val="2"/>
    </font>
    <font>
      <b/>
      <u/>
      <sz val="10"/>
      <color rgb="FFFF0000"/>
      <name val="Arial"/>
      <family val="2"/>
    </font>
  </fonts>
  <fills count="9">
    <fill>
      <patternFill patternType="none"/>
    </fill>
    <fill>
      <patternFill patternType="gray125"/>
    </fill>
    <fill>
      <patternFill patternType="solid">
        <fgColor indexed="9"/>
        <bgColor indexed="26"/>
      </patternFill>
    </fill>
    <fill>
      <patternFill patternType="solid">
        <fgColor indexed="42"/>
        <bgColor indexed="27"/>
      </patternFill>
    </fill>
    <fill>
      <patternFill patternType="solid">
        <fgColor indexed="22"/>
        <bgColor indexed="31"/>
      </patternFill>
    </fill>
    <fill>
      <patternFill patternType="solid">
        <fgColor theme="0"/>
        <bgColor indexed="64"/>
      </patternFill>
    </fill>
    <fill>
      <patternFill patternType="solid">
        <fgColor rgb="FFC0C0C0"/>
        <bgColor indexed="64"/>
      </patternFill>
    </fill>
    <fill>
      <patternFill patternType="solid">
        <fgColor theme="4" tint="0.59999389629810485"/>
        <bgColor indexed="26"/>
      </patternFill>
    </fill>
    <fill>
      <patternFill patternType="solid">
        <fgColor theme="4" tint="0.59999389629810485"/>
        <bgColor indexed="64"/>
      </patternFill>
    </fill>
  </fills>
  <borders count="34">
    <border>
      <left/>
      <right/>
      <top/>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diagonal/>
    </border>
    <border>
      <left/>
      <right/>
      <top style="thin">
        <color indexed="63"/>
      </top>
      <bottom/>
      <diagonal/>
    </border>
    <border>
      <left/>
      <right style="thin">
        <color indexed="63"/>
      </right>
      <top style="thin">
        <color indexed="63"/>
      </top>
      <bottom/>
      <diagonal/>
    </border>
    <border>
      <left style="thin">
        <color indexed="63"/>
      </left>
      <right/>
      <top/>
      <bottom/>
      <diagonal/>
    </border>
    <border>
      <left/>
      <right style="thin">
        <color indexed="63"/>
      </right>
      <top/>
      <bottom/>
      <diagonal/>
    </border>
    <border>
      <left style="thin">
        <color indexed="63"/>
      </left>
      <right/>
      <top/>
      <bottom style="thin">
        <color indexed="63"/>
      </bottom>
      <diagonal/>
    </border>
    <border>
      <left/>
      <right/>
      <top/>
      <bottom style="thin">
        <color indexed="63"/>
      </bottom>
      <diagonal/>
    </border>
    <border>
      <left/>
      <right style="thin">
        <color indexed="63"/>
      </right>
      <top/>
      <bottom style="thin">
        <color indexed="63"/>
      </bottom>
      <diagonal/>
    </border>
    <border>
      <left style="thin">
        <color indexed="63"/>
      </left>
      <right style="hair">
        <color indexed="63"/>
      </right>
      <top style="thin">
        <color indexed="63"/>
      </top>
      <bottom style="hair">
        <color indexed="63"/>
      </bottom>
      <diagonal/>
    </border>
    <border>
      <left style="hair">
        <color indexed="63"/>
      </left>
      <right style="hair">
        <color indexed="63"/>
      </right>
      <top style="thin">
        <color indexed="63"/>
      </top>
      <bottom style="hair">
        <color indexed="63"/>
      </bottom>
      <diagonal/>
    </border>
    <border>
      <left style="thin">
        <color indexed="63"/>
      </left>
      <right style="hair">
        <color indexed="63"/>
      </right>
      <top style="hair">
        <color indexed="63"/>
      </top>
      <bottom style="hair">
        <color indexed="63"/>
      </bottom>
      <diagonal/>
    </border>
    <border>
      <left style="hair">
        <color indexed="63"/>
      </left>
      <right style="hair">
        <color indexed="63"/>
      </right>
      <top style="hair">
        <color indexed="63"/>
      </top>
      <bottom style="hair">
        <color indexed="63"/>
      </bottom>
      <diagonal/>
    </border>
    <border>
      <left style="hair">
        <color indexed="63"/>
      </left>
      <right style="hair">
        <color indexed="63"/>
      </right>
      <top style="hair">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bottom/>
      <diagonal/>
    </border>
    <border>
      <left style="thin">
        <color indexed="63"/>
      </left>
      <right/>
      <top style="thin">
        <color indexed="63"/>
      </top>
      <bottom style="thin">
        <color indexed="63"/>
      </bottom>
      <diagonal/>
    </border>
    <border>
      <left style="hair">
        <color indexed="63"/>
      </left>
      <right style="thin">
        <color indexed="63"/>
      </right>
      <top style="thin">
        <color indexed="63"/>
      </top>
      <bottom style="hair">
        <color indexed="63"/>
      </bottom>
      <diagonal/>
    </border>
    <border>
      <left style="hair">
        <color indexed="63"/>
      </left>
      <right style="thin">
        <color indexed="63"/>
      </right>
      <top style="hair">
        <color indexed="63"/>
      </top>
      <bottom style="hair">
        <color indexed="63"/>
      </bottom>
      <diagonal/>
    </border>
    <border>
      <left style="hair">
        <color indexed="63"/>
      </left>
      <right style="thin">
        <color indexed="63"/>
      </right>
      <top style="hair">
        <color indexed="63"/>
      </top>
      <bottom style="thin">
        <color indexed="63"/>
      </bottom>
      <diagonal/>
    </border>
    <border>
      <left style="hair">
        <color indexed="63"/>
      </left>
      <right/>
      <top style="hair">
        <color indexed="63"/>
      </top>
      <bottom style="hair">
        <color indexed="63"/>
      </bottom>
      <diagonal/>
    </border>
    <border>
      <left/>
      <right style="thin">
        <color indexed="63"/>
      </right>
      <top style="hair">
        <color indexed="63"/>
      </top>
      <bottom style="hair">
        <color indexed="63"/>
      </bottom>
      <diagonal/>
    </border>
    <border>
      <left style="thin">
        <color indexed="63"/>
      </left>
      <right style="hair">
        <color indexed="63"/>
      </right>
      <top style="hair">
        <color indexed="63"/>
      </top>
      <bottom/>
      <diagonal/>
    </border>
    <border>
      <left style="thin">
        <color indexed="63"/>
      </left>
      <right style="hair">
        <color indexed="63"/>
      </right>
      <top/>
      <bottom/>
      <diagonal/>
    </border>
    <border>
      <left style="thin">
        <color indexed="63"/>
      </left>
      <right style="hair">
        <color indexed="63"/>
      </right>
      <top/>
      <bottom style="thin">
        <color indexed="63"/>
      </bottom>
      <diagonal/>
    </border>
    <border>
      <left style="thin">
        <color indexed="63"/>
      </left>
      <right style="hair">
        <color indexed="63"/>
      </right>
      <top/>
      <bottom style="hair">
        <color indexed="63"/>
      </bottom>
      <diagonal/>
    </border>
    <border>
      <left style="thin">
        <color indexed="63"/>
      </left>
      <right/>
      <top style="hair">
        <color indexed="63"/>
      </top>
      <bottom style="hair">
        <color indexed="63"/>
      </bottom>
      <diagonal/>
    </border>
    <border>
      <left style="thin">
        <color indexed="63"/>
      </left>
      <right style="thin">
        <color indexed="63"/>
      </right>
      <top style="thin">
        <color indexed="64"/>
      </top>
      <bottom/>
      <diagonal/>
    </border>
    <border>
      <left style="thin">
        <color indexed="63"/>
      </left>
      <right style="thin">
        <color indexed="63"/>
      </right>
      <top style="thin">
        <color indexed="64"/>
      </top>
      <bottom style="thin">
        <color indexed="63"/>
      </bottom>
      <diagonal/>
    </border>
    <border>
      <left style="thin">
        <color indexed="63"/>
      </left>
      <right style="thin">
        <color indexed="63"/>
      </right>
      <top style="thin">
        <color indexed="63"/>
      </top>
      <bottom style="thin">
        <color indexed="64"/>
      </bottom>
      <diagonal/>
    </border>
    <border>
      <left style="thin">
        <color indexed="63"/>
      </left>
      <right style="thin">
        <color indexed="63"/>
      </right>
      <top style="thin">
        <color indexed="64"/>
      </top>
      <bottom style="thin">
        <color indexed="64"/>
      </bottom>
      <diagonal/>
    </border>
    <border>
      <left style="thin">
        <color indexed="63"/>
      </left>
      <right style="thin">
        <color indexed="63"/>
      </right>
      <top style="thin">
        <color indexed="63"/>
      </top>
      <bottom style="thin">
        <color rgb="FF000000"/>
      </bottom>
      <diagonal/>
    </border>
  </borders>
  <cellStyleXfs count="13">
    <xf numFmtId="0" fontId="0" fillId="0" borderId="0"/>
    <xf numFmtId="164" fontId="17" fillId="0" borderId="0" applyFill="0" applyBorder="0" applyAlignment="0" applyProtection="0"/>
    <xf numFmtId="164" fontId="17" fillId="0" borderId="0" applyFill="0" applyBorder="0" applyAlignment="0" applyProtection="0"/>
    <xf numFmtId="0" fontId="1" fillId="0" borderId="0"/>
    <xf numFmtId="0" fontId="1" fillId="0" borderId="0"/>
    <xf numFmtId="0" fontId="17" fillId="0" borderId="0"/>
    <xf numFmtId="0" fontId="2" fillId="0" borderId="0"/>
    <xf numFmtId="0" fontId="2" fillId="0" borderId="0"/>
    <xf numFmtId="9" fontId="17" fillId="0" borderId="0" applyFill="0" applyBorder="0" applyAlignment="0" applyProtection="0"/>
    <xf numFmtId="9" fontId="17" fillId="0" borderId="0" applyFill="0" applyBorder="0" applyAlignment="0" applyProtection="0"/>
    <xf numFmtId="9" fontId="17" fillId="0" borderId="0" applyFill="0" applyBorder="0" applyAlignment="0" applyProtection="0"/>
    <xf numFmtId="0" fontId="18" fillId="0" borderId="0" applyNumberFormat="0" applyFill="0" applyBorder="0" applyAlignment="0" applyProtection="0"/>
    <xf numFmtId="167" fontId="2" fillId="0" borderId="0"/>
  </cellStyleXfs>
  <cellXfs count="146">
    <xf numFmtId="0" fontId="0" fillId="0" borderId="0" xfId="0"/>
    <xf numFmtId="0" fontId="2" fillId="0" borderId="0" xfId="6"/>
    <xf numFmtId="0" fontId="1" fillId="2" borderId="2" xfId="4" applyFill="1" applyBorder="1"/>
    <xf numFmtId="0" fontId="1" fillId="2" borderId="3" xfId="4" applyFill="1" applyBorder="1"/>
    <xf numFmtId="0" fontId="1" fillId="2" borderId="4" xfId="4" applyFill="1" applyBorder="1"/>
    <xf numFmtId="0" fontId="3" fillId="2" borderId="5" xfId="7" applyFont="1" applyFill="1" applyBorder="1"/>
    <xf numFmtId="0" fontId="1" fillId="2" borderId="0" xfId="4" applyFill="1"/>
    <xf numFmtId="0" fontId="1" fillId="2" borderId="6" xfId="4" applyFill="1" applyBorder="1"/>
    <xf numFmtId="0" fontId="4" fillId="2" borderId="0" xfId="4" applyFont="1" applyFill="1"/>
    <xf numFmtId="0" fontId="1" fillId="2" borderId="5" xfId="4" applyFill="1" applyBorder="1"/>
    <xf numFmtId="0" fontId="5" fillId="0" borderId="0" xfId="6" applyFont="1"/>
    <xf numFmtId="0" fontId="6" fillId="2" borderId="5" xfId="4" applyFont="1" applyFill="1" applyBorder="1"/>
    <xf numFmtId="0" fontId="6" fillId="2" borderId="0" xfId="4" applyFont="1" applyFill="1"/>
    <xf numFmtId="0" fontId="7" fillId="2" borderId="0" xfId="4" applyFont="1" applyFill="1" applyAlignment="1">
      <alignment horizontal="center"/>
    </xf>
    <xf numFmtId="0" fontId="6" fillId="2" borderId="6" xfId="4" applyFont="1" applyFill="1" applyBorder="1"/>
    <xf numFmtId="0" fontId="1" fillId="2" borderId="7" xfId="4" applyFill="1" applyBorder="1"/>
    <xf numFmtId="0" fontId="1" fillId="2" borderId="8" xfId="4" applyFill="1" applyBorder="1"/>
    <xf numFmtId="0" fontId="1" fillId="2" borderId="9" xfId="4" applyFill="1" applyBorder="1"/>
    <xf numFmtId="0" fontId="10" fillId="3" borderId="0" xfId="0" applyFont="1" applyFill="1" applyAlignment="1">
      <alignment vertical="center"/>
    </xf>
    <xf numFmtId="0" fontId="12" fillId="3" borderId="0" xfId="0" applyFont="1" applyFill="1" applyAlignment="1">
      <alignment vertical="center"/>
    </xf>
    <xf numFmtId="0" fontId="13" fillId="3" borderId="10"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0" fillId="3" borderId="0" xfId="0" applyFont="1" applyFill="1" applyAlignment="1">
      <alignment vertical="center" wrapText="1"/>
    </xf>
    <xf numFmtId="9" fontId="10" fillId="3" borderId="13" xfId="0" applyNumberFormat="1" applyFont="1" applyFill="1" applyBorder="1" applyAlignment="1">
      <alignment horizontal="center" vertical="center" wrapText="1"/>
    </xf>
    <xf numFmtId="0" fontId="2" fillId="3" borderId="0" xfId="3" applyFont="1" applyFill="1"/>
    <xf numFmtId="0" fontId="2" fillId="3" borderId="0" xfId="3" applyFont="1" applyFill="1" applyAlignment="1">
      <alignment horizontal="right"/>
    </xf>
    <xf numFmtId="0" fontId="0" fillId="3" borderId="0" xfId="0" applyFill="1"/>
    <xf numFmtId="0" fontId="0" fillId="3" borderId="0" xfId="0" applyFill="1" applyAlignment="1">
      <alignment vertical="center"/>
    </xf>
    <xf numFmtId="0" fontId="9" fillId="3" borderId="13" xfId="0" applyFont="1" applyFill="1" applyBorder="1" applyAlignment="1">
      <alignment horizontal="center" vertical="center" wrapText="1"/>
    </xf>
    <xf numFmtId="0" fontId="1" fillId="0" borderId="0" xfId="3"/>
    <xf numFmtId="9" fontId="0" fillId="0" borderId="0" xfId="8" applyFont="1" applyFill="1" applyBorder="1" applyAlignment="1" applyProtection="1"/>
    <xf numFmtId="0" fontId="15" fillId="3" borderId="0" xfId="3" applyFont="1" applyFill="1" applyAlignment="1">
      <alignment horizontal="center" vertical="center"/>
    </xf>
    <xf numFmtId="1" fontId="2" fillId="3" borderId="1" xfId="3" applyNumberFormat="1" applyFont="1" applyFill="1" applyBorder="1" applyAlignment="1">
      <alignment horizontal="center"/>
    </xf>
    <xf numFmtId="1" fontId="9" fillId="3" borderId="1" xfId="3" applyNumberFormat="1" applyFont="1" applyFill="1" applyBorder="1" applyAlignment="1">
      <alignment horizontal="center"/>
    </xf>
    <xf numFmtId="0" fontId="15" fillId="3" borderId="0" xfId="3" applyFont="1" applyFill="1" applyAlignment="1">
      <alignment horizontal="left" vertical="center"/>
    </xf>
    <xf numFmtId="0" fontId="14" fillId="3" borderId="13" xfId="0" applyFont="1" applyFill="1" applyBorder="1" applyAlignment="1">
      <alignment horizontal="left" vertical="center" wrapText="1" indent="1"/>
    </xf>
    <xf numFmtId="0" fontId="14" fillId="3" borderId="14" xfId="0" applyFont="1" applyFill="1" applyBorder="1" applyAlignment="1">
      <alignment horizontal="left" vertical="center" wrapText="1" indent="1"/>
    </xf>
    <xf numFmtId="0" fontId="13" fillId="3" borderId="11" xfId="0" applyFont="1" applyFill="1" applyBorder="1" applyAlignment="1">
      <alignment vertical="center" wrapText="1" indent="1"/>
    </xf>
    <xf numFmtId="0" fontId="13" fillId="3" borderId="13" xfId="0" applyFont="1" applyFill="1" applyBorder="1" applyAlignment="1">
      <alignment vertical="center" wrapText="1" indent="1"/>
    </xf>
    <xf numFmtId="0" fontId="13" fillId="3" borderId="13" xfId="0" applyFont="1" applyFill="1" applyBorder="1" applyAlignment="1">
      <alignment horizontal="left" vertical="center" wrapText="1" indent="1"/>
    </xf>
    <xf numFmtId="0" fontId="12" fillId="2" borderId="22" xfId="0" applyFont="1" applyFill="1" applyBorder="1" applyAlignment="1">
      <alignment horizontal="left" vertical="center" wrapText="1" indent="1"/>
    </xf>
    <xf numFmtId="0" fontId="12" fillId="2" borderId="13" xfId="0" applyFont="1" applyFill="1" applyBorder="1" applyAlignment="1">
      <alignment vertical="center" wrapText="1" indent="1"/>
    </xf>
    <xf numFmtId="9" fontId="12" fillId="3" borderId="13" xfId="0" applyNumberFormat="1" applyFont="1" applyFill="1" applyBorder="1" applyAlignment="1">
      <alignment horizontal="center" vertical="center" wrapText="1"/>
    </xf>
    <xf numFmtId="0" fontId="2" fillId="2" borderId="13" xfId="0" applyFont="1" applyFill="1" applyBorder="1" applyAlignment="1">
      <alignment horizontal="center" vertical="center" wrapText="1"/>
    </xf>
    <xf numFmtId="166" fontId="0" fillId="2" borderId="13" xfId="0" applyNumberFormat="1" applyFill="1" applyBorder="1" applyAlignment="1">
      <alignment horizontal="center" vertical="center" wrapText="1"/>
    </xf>
    <xf numFmtId="0" fontId="0" fillId="2" borderId="13" xfId="0" applyFill="1" applyBorder="1" applyAlignment="1">
      <alignment horizontal="center" vertical="center" wrapText="1"/>
    </xf>
    <xf numFmtId="166" fontId="16" fillId="3" borderId="13" xfId="0" applyNumberFormat="1" applyFont="1" applyFill="1" applyBorder="1" applyAlignment="1">
      <alignment horizontal="center" vertical="center" wrapText="1"/>
    </xf>
    <xf numFmtId="0" fontId="16" fillId="3" borderId="13" xfId="0" applyFont="1" applyFill="1" applyBorder="1" applyAlignment="1">
      <alignment horizontal="center" vertical="center" wrapText="1"/>
    </xf>
    <xf numFmtId="0" fontId="9" fillId="3" borderId="13" xfId="0" applyFont="1" applyFill="1" applyBorder="1" applyAlignment="1">
      <alignment vertical="center" wrapText="1" indent="1"/>
    </xf>
    <xf numFmtId="0" fontId="2" fillId="2" borderId="13" xfId="0" applyFont="1" applyFill="1" applyBorder="1" applyAlignment="1">
      <alignment vertical="center" wrapText="1" indent="1"/>
    </xf>
    <xf numFmtId="0" fontId="0" fillId="3" borderId="0" xfId="0" applyFill="1" applyAlignment="1">
      <alignment indent="1"/>
    </xf>
    <xf numFmtId="0" fontId="0" fillId="2" borderId="13" xfId="0" applyFill="1" applyBorder="1" applyAlignment="1">
      <alignment vertical="center" wrapText="1" indent="1"/>
    </xf>
    <xf numFmtId="2" fontId="2" fillId="2" borderId="1" xfId="0" applyNumberFormat="1" applyFont="1" applyFill="1" applyBorder="1" applyAlignment="1">
      <alignment horizontal="center" vertical="center" wrapText="1" indent="1"/>
    </xf>
    <xf numFmtId="0" fontId="2" fillId="3" borderId="0" xfId="3" applyFont="1" applyFill="1" applyAlignment="1">
      <alignment horizontal="center"/>
    </xf>
    <xf numFmtId="0" fontId="9" fillId="3" borderId="1" xfId="3" applyFont="1" applyFill="1" applyBorder="1" applyAlignment="1">
      <alignment horizontal="right" indent="1"/>
    </xf>
    <xf numFmtId="9" fontId="2" fillId="3" borderId="1" xfId="8" applyFont="1" applyFill="1" applyBorder="1" applyAlignment="1" applyProtection="1">
      <alignment horizontal="center"/>
    </xf>
    <xf numFmtId="9" fontId="9" fillId="3" borderId="1" xfId="3" applyNumberFormat="1" applyFont="1" applyFill="1" applyBorder="1" applyAlignment="1">
      <alignment horizontal="center"/>
    </xf>
    <xf numFmtId="0" fontId="15" fillId="3" borderId="0" xfId="3" applyFont="1" applyFill="1" applyAlignment="1">
      <alignment horizontal="left" vertical="center" indent="1"/>
    </xf>
    <xf numFmtId="0" fontId="2" fillId="3" borderId="0" xfId="3" applyFont="1" applyFill="1" applyAlignment="1">
      <alignment horizontal="left" indent="1"/>
    </xf>
    <xf numFmtId="0" fontId="9" fillId="3" borderId="1" xfId="3" applyFont="1" applyFill="1" applyBorder="1" applyAlignment="1">
      <alignment horizontal="left" vertical="center" wrapText="1" indent="1"/>
    </xf>
    <xf numFmtId="0" fontId="9" fillId="3" borderId="1" xfId="3" applyFont="1" applyFill="1" applyBorder="1" applyAlignment="1">
      <alignment horizontal="center" vertical="center" wrapText="1"/>
    </xf>
    <xf numFmtId="0" fontId="2" fillId="3" borderId="0" xfId="3" applyFont="1" applyFill="1" applyAlignment="1">
      <alignment vertical="center"/>
    </xf>
    <xf numFmtId="0" fontId="9" fillId="3" borderId="1" xfId="0" applyFont="1" applyFill="1" applyBorder="1" applyAlignment="1">
      <alignment horizontal="left" vertical="center" indent="1"/>
    </xf>
    <xf numFmtId="168" fontId="9" fillId="3" borderId="1" xfId="3" applyNumberFormat="1" applyFont="1" applyFill="1" applyBorder="1" applyAlignment="1">
      <alignment horizontal="center"/>
    </xf>
    <xf numFmtId="0" fontId="9" fillId="3" borderId="1" xfId="0" applyFont="1" applyFill="1" applyBorder="1" applyAlignment="1">
      <alignment horizontal="center" vertical="center" wrapText="1" indent="1"/>
    </xf>
    <xf numFmtId="0" fontId="2" fillId="2" borderId="1" xfId="0" applyFont="1" applyFill="1" applyBorder="1" applyAlignment="1">
      <alignment horizontal="center" vertical="center" wrapText="1" indent="2"/>
    </xf>
    <xf numFmtId="168" fontId="0" fillId="2" borderId="13" xfId="0" applyNumberFormat="1" applyFill="1" applyBorder="1" applyAlignment="1">
      <alignment horizontal="center" vertical="center" wrapText="1"/>
    </xf>
    <xf numFmtId="2" fontId="2" fillId="2" borderId="1" xfId="3"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9" fillId="3" borderId="15" xfId="0" applyFont="1" applyFill="1" applyBorder="1" applyAlignment="1">
      <alignment horizontal="center" vertical="center" wrapText="1"/>
    </xf>
    <xf numFmtId="165" fontId="2" fillId="2" borderId="16" xfId="0" applyNumberFormat="1" applyFont="1" applyFill="1" applyBorder="1" applyAlignment="1">
      <alignment horizontal="center" vertical="center"/>
    </xf>
    <xf numFmtId="0" fontId="9" fillId="3" borderId="1" xfId="0" applyFont="1" applyFill="1" applyBorder="1" applyAlignment="1">
      <alignment horizontal="left" vertical="center" wrapText="1" indent="1"/>
    </xf>
    <xf numFmtId="168" fontId="9" fillId="3" borderId="0" xfId="3" applyNumberFormat="1" applyFont="1" applyFill="1" applyAlignment="1">
      <alignment horizontal="center"/>
    </xf>
    <xf numFmtId="0" fontId="9" fillId="3" borderId="0" xfId="3" applyFont="1" applyFill="1" applyAlignment="1">
      <alignment horizontal="center"/>
    </xf>
    <xf numFmtId="0" fontId="9" fillId="3" borderId="0" xfId="3" applyFont="1" applyFill="1" applyAlignment="1">
      <alignment horizontal="right"/>
    </xf>
    <xf numFmtId="9" fontId="13" fillId="3" borderId="13" xfId="0" applyNumberFormat="1" applyFont="1" applyFill="1" applyBorder="1" applyAlignment="1">
      <alignment horizontal="center" vertical="center" wrapText="1"/>
    </xf>
    <xf numFmtId="0" fontId="9" fillId="3" borderId="0" xfId="3" applyFont="1" applyFill="1" applyAlignment="1">
      <alignment horizontal="center" vertical="center" wrapText="1"/>
    </xf>
    <xf numFmtId="0" fontId="2" fillId="2" borderId="16" xfId="0" applyFont="1" applyFill="1" applyBorder="1" applyAlignment="1">
      <alignment horizontal="left" vertical="center" wrapText="1" indent="1"/>
    </xf>
    <xf numFmtId="0" fontId="9" fillId="2" borderId="16" xfId="0" applyFont="1" applyFill="1" applyBorder="1" applyAlignment="1">
      <alignment horizontal="left" vertical="center" wrapText="1" indent="1"/>
    </xf>
    <xf numFmtId="0" fontId="19" fillId="5" borderId="29" xfId="0" applyFont="1" applyFill="1" applyBorder="1" applyAlignment="1">
      <alignment horizontal="left" vertical="center" wrapText="1" indent="1"/>
    </xf>
    <xf numFmtId="0" fontId="18" fillId="0" borderId="0" xfId="11" applyAlignment="1">
      <alignment horizontal="left" vertical="center" indent="1"/>
    </xf>
    <xf numFmtId="0" fontId="9" fillId="3" borderId="0" xfId="3" applyFont="1" applyFill="1"/>
    <xf numFmtId="0" fontId="28" fillId="0" borderId="0" xfId="11" applyFont="1" applyAlignment="1">
      <alignment horizontal="left" vertical="center" indent="1"/>
    </xf>
    <xf numFmtId="0" fontId="16" fillId="0" borderId="0" xfId="0" applyFont="1" applyAlignment="1">
      <alignment vertical="center"/>
    </xf>
    <xf numFmtId="0" fontId="19" fillId="5" borderId="30" xfId="0" applyFont="1" applyFill="1" applyBorder="1" applyAlignment="1">
      <alignment horizontal="left" vertical="center" indent="1"/>
    </xf>
    <xf numFmtId="0" fontId="2" fillId="2" borderId="31" xfId="0" applyFont="1" applyFill="1" applyBorder="1" applyAlignment="1">
      <alignment horizontal="left" vertical="center" wrapText="1" indent="1"/>
    </xf>
    <xf numFmtId="0" fontId="9" fillId="2" borderId="31" xfId="0" applyFont="1" applyFill="1" applyBorder="1" applyAlignment="1">
      <alignment horizontal="left" vertical="center" wrapText="1" indent="1"/>
    </xf>
    <xf numFmtId="0" fontId="9" fillId="7" borderId="16" xfId="0" applyFont="1" applyFill="1" applyBorder="1" applyAlignment="1">
      <alignment horizontal="left" vertical="center" wrapText="1" indent="1"/>
    </xf>
    <xf numFmtId="0" fontId="27" fillId="8" borderId="29" xfId="0" applyFont="1" applyFill="1" applyBorder="1" applyAlignment="1">
      <alignment horizontal="left" vertical="center" indent="1"/>
    </xf>
    <xf numFmtId="165" fontId="9" fillId="7" borderId="16" xfId="0" applyNumberFormat="1" applyFont="1" applyFill="1" applyBorder="1" applyAlignment="1">
      <alignment horizontal="center" vertical="center"/>
    </xf>
    <xf numFmtId="0" fontId="9" fillId="7" borderId="1" xfId="0" applyFont="1" applyFill="1" applyBorder="1" applyAlignment="1">
      <alignment horizontal="center" vertical="center" wrapText="1" indent="2"/>
    </xf>
    <xf numFmtId="0" fontId="9" fillId="7" borderId="1" xfId="0" applyFont="1" applyFill="1" applyBorder="1" applyAlignment="1">
      <alignment horizontal="center" vertical="center"/>
    </xf>
    <xf numFmtId="1" fontId="9" fillId="7" borderId="1" xfId="0" applyNumberFormat="1" applyFont="1" applyFill="1" applyBorder="1" applyAlignment="1">
      <alignment horizontal="center" vertical="center"/>
    </xf>
    <xf numFmtId="2" fontId="9" fillId="7" borderId="1" xfId="0" applyNumberFormat="1" applyFont="1" applyFill="1" applyBorder="1" applyAlignment="1">
      <alignment horizontal="center" vertical="center" wrapText="1" indent="1"/>
    </xf>
    <xf numFmtId="2" fontId="9" fillId="7" borderId="1" xfId="3" applyNumberFormat="1" applyFont="1" applyFill="1" applyBorder="1" applyAlignment="1">
      <alignment horizontal="center" vertical="center"/>
    </xf>
    <xf numFmtId="0" fontId="30" fillId="2" borderId="16" xfId="0" applyFont="1" applyFill="1" applyBorder="1" applyAlignment="1">
      <alignment horizontal="left" vertical="center" wrapText="1" indent="1"/>
    </xf>
    <xf numFmtId="0" fontId="27" fillId="8" borderId="29" xfId="0" applyFont="1" applyFill="1" applyBorder="1" applyAlignment="1">
      <alignment horizontal="left" vertical="center" wrapText="1" indent="1"/>
    </xf>
    <xf numFmtId="0" fontId="30" fillId="0" borderId="32" xfId="0" applyFont="1" applyBorder="1" applyAlignment="1">
      <alignment horizontal="left" vertical="center" wrapText="1" indent="1"/>
    </xf>
    <xf numFmtId="0" fontId="30" fillId="0" borderId="16" xfId="0" applyFont="1" applyBorder="1" applyAlignment="1">
      <alignment horizontal="left" vertical="center" wrapText="1" indent="1"/>
    </xf>
    <xf numFmtId="0" fontId="9" fillId="7" borderId="32" xfId="0" applyFont="1" applyFill="1" applyBorder="1" applyAlignment="1">
      <alignment horizontal="left" vertical="center" wrapText="1" indent="1"/>
    </xf>
    <xf numFmtId="0" fontId="27" fillId="8" borderId="32" xfId="0" applyFont="1" applyFill="1" applyBorder="1" applyAlignment="1">
      <alignment horizontal="left" vertical="center" wrapText="1" indent="1"/>
    </xf>
    <xf numFmtId="165" fontId="9" fillId="7" borderId="32" xfId="0" applyNumberFormat="1" applyFont="1" applyFill="1" applyBorder="1" applyAlignment="1">
      <alignment horizontal="center" vertical="center"/>
    </xf>
    <xf numFmtId="165" fontId="29" fillId="2" borderId="32" xfId="0" applyNumberFormat="1" applyFont="1" applyFill="1" applyBorder="1" applyAlignment="1">
      <alignment horizontal="center" vertical="center"/>
    </xf>
    <xf numFmtId="0" fontId="29" fillId="2" borderId="32" xfId="0" applyFont="1" applyFill="1" applyBorder="1" applyAlignment="1">
      <alignment horizontal="left" vertical="center" wrapText="1" indent="1"/>
    </xf>
    <xf numFmtId="0" fontId="29" fillId="2" borderId="1" xfId="0" applyFont="1" applyFill="1" applyBorder="1" applyAlignment="1">
      <alignment horizontal="center" vertical="center" wrapText="1" indent="2"/>
    </xf>
    <xf numFmtId="0" fontId="29" fillId="2" borderId="1" xfId="0" applyFont="1" applyFill="1" applyBorder="1" applyAlignment="1">
      <alignment horizontal="center" vertical="center"/>
    </xf>
    <xf numFmtId="2" fontId="29" fillId="2" borderId="1" xfId="3" applyNumberFormat="1" applyFont="1" applyFill="1" applyBorder="1" applyAlignment="1">
      <alignment horizontal="center" vertical="center"/>
    </xf>
    <xf numFmtId="0" fontId="31" fillId="0" borderId="0" xfId="11" applyFont="1" applyAlignment="1">
      <alignment horizontal="left" vertical="center" indent="1"/>
    </xf>
    <xf numFmtId="0" fontId="29" fillId="3" borderId="0" xfId="3" applyFont="1" applyFill="1"/>
    <xf numFmtId="0" fontId="29" fillId="2" borderId="32" xfId="0" quotePrefix="1" applyFont="1" applyFill="1" applyBorder="1" applyAlignment="1">
      <alignment horizontal="left" vertical="center" wrapText="1" indent="1"/>
    </xf>
    <xf numFmtId="165" fontId="9" fillId="7" borderId="33" xfId="0" applyNumberFormat="1" applyFont="1" applyFill="1" applyBorder="1" applyAlignment="1">
      <alignment horizontal="center" vertical="center"/>
    </xf>
    <xf numFmtId="165" fontId="2" fillId="2" borderId="17" xfId="0" applyNumberFormat="1" applyFont="1" applyFill="1" applyBorder="1" applyAlignment="1">
      <alignment horizontal="center" vertical="center"/>
    </xf>
    <xf numFmtId="0" fontId="8" fillId="4" borderId="4" xfId="4" applyFont="1" applyFill="1" applyBorder="1" applyAlignment="1">
      <alignment horizontal="left" vertical="center"/>
    </xf>
    <xf numFmtId="165" fontId="9" fillId="4" borderId="2" xfId="4" applyNumberFormat="1" applyFont="1" applyFill="1" applyBorder="1" applyAlignment="1">
      <alignment horizontal="center" vertical="center"/>
    </xf>
    <xf numFmtId="0" fontId="21" fillId="2" borderId="17" xfId="4" applyFont="1" applyFill="1" applyBorder="1" applyAlignment="1">
      <alignment horizontal="center"/>
    </xf>
    <xf numFmtId="0" fontId="20" fillId="2" borderId="17" xfId="4" applyFont="1" applyFill="1" applyBorder="1" applyAlignment="1">
      <alignment horizontal="center"/>
    </xf>
    <xf numFmtId="0" fontId="8" fillId="4" borderId="9" xfId="4" applyFont="1" applyFill="1" applyBorder="1" applyAlignment="1">
      <alignment horizontal="left" vertical="center"/>
    </xf>
    <xf numFmtId="0" fontId="9" fillId="6" borderId="7" xfId="4" applyFont="1" applyFill="1" applyBorder="1" applyAlignment="1">
      <alignment horizontal="center" vertical="center"/>
    </xf>
    <xf numFmtId="0" fontId="8" fillId="4" borderId="15" xfId="4" applyFont="1" applyFill="1" applyBorder="1" applyAlignment="1">
      <alignment horizontal="left" vertical="center"/>
    </xf>
    <xf numFmtId="49" fontId="9" fillId="6" borderId="18" xfId="4" applyNumberFormat="1" applyFont="1" applyFill="1" applyBorder="1" applyAlignment="1">
      <alignment horizontal="center" vertical="center"/>
    </xf>
    <xf numFmtId="0" fontId="13" fillId="3" borderId="24" xfId="0" applyFont="1" applyFill="1" applyBorder="1" applyAlignment="1">
      <alignment horizontal="center" vertical="center" wrapText="1"/>
    </xf>
    <xf numFmtId="0" fontId="13" fillId="3" borderId="25"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13" fillId="3" borderId="14" xfId="0" applyFont="1" applyFill="1" applyBorder="1" applyAlignment="1">
      <alignment horizontal="left" vertical="center" wrapText="1" indent="1"/>
    </xf>
    <xf numFmtId="0" fontId="12" fillId="2" borderId="20" xfId="0" applyFont="1" applyFill="1" applyBorder="1" applyAlignment="1">
      <alignment horizontal="left" vertical="center" wrapText="1" indent="1"/>
    </xf>
    <xf numFmtId="0" fontId="12" fillId="2" borderId="21" xfId="0" applyFont="1" applyFill="1" applyBorder="1" applyAlignment="1">
      <alignment horizontal="left" vertical="center" wrapText="1" indent="1"/>
    </xf>
    <xf numFmtId="0" fontId="13" fillId="3" borderId="27" xfId="0" applyFont="1" applyFill="1" applyBorder="1" applyAlignment="1">
      <alignment horizontal="center" vertical="center" wrapText="1"/>
    </xf>
    <xf numFmtId="0" fontId="13" fillId="3" borderId="13" xfId="0" applyFont="1" applyFill="1" applyBorder="1" applyAlignment="1">
      <alignment vertical="center" wrapText="1" indent="1"/>
    </xf>
    <xf numFmtId="1" fontId="12" fillId="2" borderId="20" xfId="0" applyNumberFormat="1"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3" fillId="3" borderId="13" xfId="0" applyFont="1" applyFill="1" applyBorder="1" applyAlignment="1">
      <alignment horizontal="left" vertical="center" wrapText="1" indent="1"/>
    </xf>
    <xf numFmtId="0" fontId="18" fillId="2" borderId="20" xfId="11" applyFill="1" applyBorder="1" applyAlignment="1">
      <alignment horizontal="left" vertical="center" indent="1"/>
    </xf>
    <xf numFmtId="0" fontId="11" fillId="3" borderId="0" xfId="0" applyFont="1" applyFill="1" applyAlignment="1">
      <alignment horizontal="center" vertical="center"/>
    </xf>
    <xf numFmtId="0" fontId="14" fillId="2" borderId="19" xfId="0" quotePrefix="1" applyFont="1" applyFill="1" applyBorder="1" applyAlignment="1">
      <alignment horizontal="left" vertical="center" wrapText="1" indent="1"/>
    </xf>
    <xf numFmtId="0" fontId="14" fillId="2" borderId="19" xfId="0" applyFont="1" applyFill="1" applyBorder="1" applyAlignment="1">
      <alignment horizontal="left" vertical="center" wrapText="1" indent="1"/>
    </xf>
    <xf numFmtId="0" fontId="12" fillId="0" borderId="20" xfId="0" quotePrefix="1" applyFont="1" applyBorder="1" applyAlignment="1">
      <alignment horizontal="left" vertical="center" wrapText="1" indent="1"/>
    </xf>
    <xf numFmtId="0" fontId="12" fillId="0" borderId="20" xfId="0" applyFont="1" applyBorder="1" applyAlignment="1">
      <alignment horizontal="left" vertical="center" wrapText="1" indent="1"/>
    </xf>
    <xf numFmtId="0" fontId="12" fillId="2" borderId="20" xfId="0" quotePrefix="1" applyFont="1" applyFill="1" applyBorder="1" applyAlignment="1">
      <alignment horizontal="left" vertical="center" wrapText="1" indent="1"/>
    </xf>
    <xf numFmtId="0" fontId="12" fillId="3" borderId="0" xfId="0" applyFont="1" applyFill="1" applyAlignment="1">
      <alignment horizontal="center" vertical="center"/>
    </xf>
    <xf numFmtId="0" fontId="24" fillId="2" borderId="22" xfId="0" quotePrefix="1" applyFont="1" applyFill="1" applyBorder="1" applyAlignment="1">
      <alignment horizontal="left" vertical="center" wrapText="1" indent="1"/>
    </xf>
    <xf numFmtId="0" fontId="12" fillId="2" borderId="23" xfId="0" quotePrefix="1" applyFont="1" applyFill="1" applyBorder="1" applyAlignment="1">
      <alignment horizontal="left" vertical="center" wrapText="1" indent="1"/>
    </xf>
    <xf numFmtId="0" fontId="22" fillId="2" borderId="28" xfId="0" applyFont="1" applyFill="1" applyBorder="1" applyAlignment="1">
      <alignment horizontal="left" vertical="center" wrapText="1" indent="1"/>
    </xf>
    <xf numFmtId="0" fontId="12" fillId="2" borderId="23" xfId="0" applyFont="1" applyFill="1" applyBorder="1" applyAlignment="1">
      <alignment horizontal="left" vertical="center" wrapText="1" indent="1"/>
    </xf>
    <xf numFmtId="0" fontId="18" fillId="2" borderId="20" xfId="11" applyFill="1" applyBorder="1" applyAlignment="1">
      <alignment horizontal="left" vertical="center" wrapText="1" indent="1"/>
    </xf>
    <xf numFmtId="0" fontId="16" fillId="3" borderId="0" xfId="0" applyFont="1" applyFill="1" applyAlignment="1">
      <alignment horizontal="left" vertical="center"/>
    </xf>
  </cellXfs>
  <cellStyles count="13">
    <cellStyle name="Bình thường" xfId="0" builtinId="0"/>
    <cellStyle name="Comma 2" xfId="1" xr:uid="{00000000-0005-0000-0000-000000000000}"/>
    <cellStyle name="Comma 3" xfId="2" xr:uid="{00000000-0005-0000-0000-000001000000}"/>
    <cellStyle name="Hyperlink" xfId="11" xr:uid="{00000000-0005-0000-0000-000002000000}"/>
    <cellStyle name="Normal 10 3" xfId="12" xr:uid="{00000000-0005-0000-0000-000004000000}"/>
    <cellStyle name="Normal 2" xfId="3" xr:uid="{00000000-0005-0000-0000-000005000000}"/>
    <cellStyle name="Normal 2 3" xfId="4" xr:uid="{00000000-0005-0000-0000-000006000000}"/>
    <cellStyle name="Normal 3" xfId="5" xr:uid="{00000000-0005-0000-0000-000007000000}"/>
    <cellStyle name="Normal 4" xfId="6" xr:uid="{00000000-0005-0000-0000-000008000000}"/>
    <cellStyle name="Normal_Guideline_Process tailoring" xfId="7" xr:uid="{00000000-0005-0000-0000-000009000000}"/>
    <cellStyle name="Percent 2" xfId="9" xr:uid="{00000000-0005-0000-0000-00000B000000}"/>
    <cellStyle name="Percent 3" xfId="10" xr:uid="{00000000-0005-0000-0000-00000C000000}"/>
    <cellStyle name="Phần trăm" xfId="8"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D3D3D"/>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411480</xdr:colOff>
      <xdr:row>0</xdr:row>
      <xdr:rowOff>0</xdr:rowOff>
    </xdr:from>
    <xdr:to>
      <xdr:col>10</xdr:col>
      <xdr:colOff>480060</xdr:colOff>
      <xdr:row>8</xdr:row>
      <xdr:rowOff>38100</xdr:rowOff>
    </xdr:to>
    <xdr:pic>
      <xdr:nvPicPr>
        <xdr:cNvPr id="1027" name="Picture 1">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5620" y="0"/>
          <a:ext cx="3116580" cy="151638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ilhead.salesforce.com/ja/users/strailhead/trailmixes/prepare-for-your-salesforce-platform-app-builder-credential" TargetMode="External"/><Relationship Id="rId1" Type="http://schemas.openxmlformats.org/officeDocument/2006/relationships/hyperlink" Target="https://trailhead.salesforce.com/ja/users/strailhead/trailmixes/prepare-for-your-salesforce-platform-app-builder-credentia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railhead.salesforce.com/users/strailhead/trailmixes/prepare-for-your-salesforce-platform-app-builder-credential" TargetMode="External"/><Relationship Id="rId2" Type="http://schemas.openxmlformats.org/officeDocument/2006/relationships/hyperlink" Target="https://trailhead.salesforce.com/users/strailhead/trailmixes/prepare-for-your-salesforce-platform-app-builder-credential" TargetMode="External"/><Relationship Id="rId1" Type="http://schemas.openxmlformats.org/officeDocument/2006/relationships/hyperlink" Target="https://trailhead.salesforce.com/users/strailhead/trailmixes/prepare-for-your-salesforce-platform-app-builder-credential" TargetMode="External"/><Relationship Id="rId6" Type="http://schemas.openxmlformats.org/officeDocument/2006/relationships/printerSettings" Target="../printerSettings/printerSettings2.bin"/><Relationship Id="rId5" Type="http://schemas.openxmlformats.org/officeDocument/2006/relationships/hyperlink" Target="https://trailhead.salesforce.com/users/strailhead/trailmixes/prepare-for-your-salesforce-platform-app-builder-credential" TargetMode="External"/><Relationship Id="rId4" Type="http://schemas.openxmlformats.org/officeDocument/2006/relationships/hyperlink" Target="https://trailhead.salesforce.com/users/strailhead/trailmixes/prepare-for-your-salesforce-platform-app-builder-creden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7"/>
  <sheetViews>
    <sheetView workbookViewId="0"/>
  </sheetViews>
  <sheetFormatPr defaultColWidth="8.85546875" defaultRowHeight="13.15"/>
  <cols>
    <col min="1" max="1" width="3" style="1" customWidth="1"/>
    <col min="2" max="16384" width="8.85546875" style="1"/>
  </cols>
  <sheetData>
    <row r="1" spans="2:15" ht="14.45">
      <c r="B1" s="2"/>
      <c r="C1" s="3"/>
      <c r="D1" s="3"/>
      <c r="E1" s="3"/>
      <c r="F1" s="3"/>
      <c r="G1" s="3"/>
      <c r="H1" s="3"/>
      <c r="I1" s="3"/>
      <c r="J1" s="3"/>
      <c r="K1" s="3"/>
      <c r="L1" s="3"/>
      <c r="M1" s="3"/>
      <c r="N1" s="3"/>
      <c r="O1" s="4"/>
    </row>
    <row r="2" spans="2:15" ht="14.45">
      <c r="B2" s="5"/>
      <c r="C2" s="6"/>
      <c r="D2" s="6"/>
      <c r="E2" s="6"/>
      <c r="F2" s="6"/>
      <c r="G2" s="6"/>
      <c r="H2" s="6"/>
      <c r="I2" s="6"/>
      <c r="J2" s="6"/>
      <c r="K2" s="6"/>
      <c r="L2" s="6"/>
      <c r="M2" s="6"/>
      <c r="N2" s="6"/>
      <c r="O2" s="7"/>
    </row>
    <row r="3" spans="2:15" ht="14.45">
      <c r="B3" s="5"/>
      <c r="C3" s="6"/>
      <c r="D3" s="6"/>
      <c r="E3" s="6"/>
      <c r="F3" s="6"/>
      <c r="G3" s="6"/>
      <c r="H3" s="6"/>
      <c r="I3" s="6"/>
      <c r="J3" s="6"/>
      <c r="K3" s="6"/>
      <c r="L3" s="6"/>
      <c r="M3" s="6"/>
      <c r="N3" s="6"/>
      <c r="O3" s="7"/>
    </row>
    <row r="4" spans="2:15" ht="15.6">
      <c r="B4" s="5"/>
      <c r="C4" s="6"/>
      <c r="D4" s="6"/>
      <c r="E4" s="6"/>
      <c r="F4" s="6"/>
      <c r="G4" s="6"/>
      <c r="H4" s="6"/>
      <c r="I4" s="8"/>
      <c r="J4" s="6"/>
      <c r="K4" s="6"/>
      <c r="L4" s="6"/>
      <c r="M4" s="6"/>
      <c r="N4" s="6"/>
      <c r="O4" s="7"/>
    </row>
    <row r="5" spans="2:15" ht="14.45">
      <c r="B5" s="5"/>
      <c r="C5" s="6"/>
      <c r="D5" s="6"/>
      <c r="E5" s="6"/>
      <c r="F5" s="6"/>
      <c r="G5" s="6"/>
      <c r="H5" s="6"/>
      <c r="I5" s="6"/>
      <c r="J5" s="6"/>
      <c r="K5" s="6"/>
      <c r="L5" s="6"/>
      <c r="M5" s="6"/>
      <c r="N5" s="6"/>
      <c r="O5" s="7"/>
    </row>
    <row r="6" spans="2:15" ht="14.45">
      <c r="B6" s="9"/>
      <c r="C6" s="6"/>
      <c r="D6" s="6"/>
      <c r="E6" s="6"/>
      <c r="F6" s="6"/>
      <c r="G6" s="6"/>
      <c r="H6" s="6"/>
      <c r="I6" s="6"/>
      <c r="J6" s="6"/>
      <c r="K6" s="6"/>
      <c r="L6" s="6"/>
      <c r="M6" s="6"/>
      <c r="N6" s="6"/>
      <c r="O6" s="7"/>
    </row>
    <row r="7" spans="2:15" ht="14.45">
      <c r="B7" s="9"/>
      <c r="C7" s="6"/>
      <c r="D7" s="6"/>
      <c r="E7" s="6"/>
      <c r="F7" s="6"/>
      <c r="G7" s="6"/>
      <c r="H7" s="6"/>
      <c r="I7" s="6"/>
      <c r="J7" s="6"/>
      <c r="K7" s="6"/>
      <c r="L7" s="6"/>
      <c r="M7" s="6"/>
      <c r="N7" s="6"/>
      <c r="O7" s="7"/>
    </row>
    <row r="8" spans="2:15" ht="14.45">
      <c r="B8" s="9"/>
      <c r="C8" s="6"/>
      <c r="D8" s="6"/>
      <c r="E8" s="6"/>
      <c r="F8" s="6"/>
      <c r="G8" s="6"/>
      <c r="H8" s="6"/>
      <c r="I8" s="6"/>
      <c r="J8" s="6"/>
      <c r="K8" s="6"/>
      <c r="L8" s="6"/>
      <c r="M8" s="6"/>
      <c r="N8" s="6"/>
      <c r="O8" s="7"/>
    </row>
    <row r="9" spans="2:15" ht="14.45">
      <c r="B9" s="9"/>
      <c r="C9" s="6"/>
      <c r="D9" s="6"/>
      <c r="E9" s="6"/>
      <c r="F9" s="6"/>
      <c r="G9" s="6"/>
      <c r="H9" s="6"/>
      <c r="I9" s="6"/>
      <c r="J9" s="6"/>
      <c r="K9" s="6"/>
      <c r="L9" s="6"/>
      <c r="M9" s="6"/>
      <c r="N9" s="6"/>
      <c r="O9" s="7"/>
    </row>
    <row r="10" spans="2:15" ht="14.45">
      <c r="B10" s="9"/>
      <c r="C10" s="6"/>
      <c r="D10" s="6"/>
      <c r="E10" s="6"/>
      <c r="F10" s="6"/>
      <c r="G10" s="6"/>
      <c r="H10" s="6"/>
      <c r="I10" s="6"/>
      <c r="J10" s="6"/>
      <c r="K10" s="6"/>
      <c r="L10" s="6"/>
      <c r="M10" s="6"/>
      <c r="N10" s="6"/>
      <c r="O10" s="7"/>
    </row>
    <row r="11" spans="2:15" s="10" customFormat="1" ht="33">
      <c r="B11" s="115" t="s">
        <v>0</v>
      </c>
      <c r="C11" s="115"/>
      <c r="D11" s="115"/>
      <c r="E11" s="115"/>
      <c r="F11" s="115"/>
      <c r="G11" s="115"/>
      <c r="H11" s="115"/>
      <c r="I11" s="115"/>
      <c r="J11" s="115"/>
      <c r="K11" s="115"/>
      <c r="L11" s="115"/>
      <c r="M11" s="115"/>
      <c r="N11" s="115"/>
      <c r="O11" s="115"/>
    </row>
    <row r="12" spans="2:15" s="10" customFormat="1" ht="18">
      <c r="B12" s="11"/>
      <c r="C12" s="12"/>
      <c r="D12" s="12"/>
      <c r="E12" s="12"/>
      <c r="F12" s="13"/>
      <c r="G12" s="12"/>
      <c r="H12" s="12"/>
      <c r="I12" s="12"/>
      <c r="J12" s="12"/>
      <c r="K12" s="12"/>
      <c r="L12" s="12"/>
      <c r="M12" s="12"/>
      <c r="N12" s="12"/>
      <c r="O12" s="14"/>
    </row>
    <row r="13" spans="2:15" s="10" customFormat="1" ht="20.45">
      <c r="B13" s="116" t="s">
        <v>1</v>
      </c>
      <c r="C13" s="116"/>
      <c r="D13" s="116"/>
      <c r="E13" s="116"/>
      <c r="F13" s="116"/>
      <c r="G13" s="116"/>
      <c r="H13" s="116"/>
      <c r="I13" s="116"/>
      <c r="J13" s="116"/>
      <c r="K13" s="116"/>
      <c r="L13" s="116"/>
      <c r="M13" s="116"/>
      <c r="N13" s="116"/>
      <c r="O13" s="116"/>
    </row>
    <row r="14" spans="2:15" ht="14.45">
      <c r="B14" s="9"/>
      <c r="C14" s="6"/>
      <c r="D14" s="6"/>
      <c r="E14" s="6"/>
      <c r="F14" s="6"/>
      <c r="G14" s="6"/>
      <c r="H14" s="6"/>
      <c r="I14" s="6"/>
      <c r="J14" s="6"/>
      <c r="K14" s="6"/>
      <c r="L14" s="6"/>
      <c r="M14" s="6"/>
      <c r="N14" s="6"/>
      <c r="O14" s="7"/>
    </row>
    <row r="15" spans="2:15" ht="14.45">
      <c r="B15" s="9"/>
      <c r="C15" s="6"/>
      <c r="D15" s="6"/>
      <c r="E15" s="6"/>
      <c r="F15" s="6"/>
      <c r="G15" s="6"/>
      <c r="H15" s="6"/>
      <c r="I15" s="6"/>
      <c r="J15" s="6"/>
      <c r="K15" s="6"/>
      <c r="L15" s="6"/>
      <c r="M15" s="6"/>
      <c r="N15" s="6"/>
      <c r="O15" s="7"/>
    </row>
    <row r="16" spans="2:15" ht="14.45">
      <c r="B16" s="9"/>
      <c r="C16" s="6"/>
      <c r="D16" s="6"/>
      <c r="E16" s="6"/>
      <c r="F16" s="6"/>
      <c r="G16" s="6"/>
      <c r="H16" s="6"/>
      <c r="I16" s="6"/>
      <c r="J16" s="6"/>
      <c r="K16" s="6"/>
      <c r="L16" s="6"/>
      <c r="M16" s="6"/>
      <c r="N16" s="6"/>
      <c r="O16" s="7"/>
    </row>
    <row r="17" spans="2:15" ht="24" customHeight="1">
      <c r="B17" s="9"/>
      <c r="C17" s="6"/>
      <c r="D17" s="6"/>
      <c r="E17" s="6"/>
      <c r="F17" s="117" t="s">
        <v>2</v>
      </c>
      <c r="G17" s="117"/>
      <c r="H17" s="117"/>
      <c r="I17" s="118" t="s">
        <v>3</v>
      </c>
      <c r="J17" s="118"/>
      <c r="K17" s="118"/>
      <c r="L17" s="6"/>
      <c r="M17" s="6"/>
      <c r="N17" s="6"/>
      <c r="O17" s="7"/>
    </row>
    <row r="18" spans="2:15" ht="24" customHeight="1">
      <c r="B18" s="9"/>
      <c r="C18" s="6"/>
      <c r="D18" s="6"/>
      <c r="E18" s="6"/>
      <c r="F18" s="119" t="s">
        <v>4</v>
      </c>
      <c r="G18" s="119"/>
      <c r="H18" s="119"/>
      <c r="I18" s="120" t="s">
        <v>5</v>
      </c>
      <c r="J18" s="120"/>
      <c r="K18" s="120"/>
      <c r="L18" s="6"/>
      <c r="M18" s="6"/>
      <c r="N18" s="6"/>
      <c r="O18" s="7"/>
    </row>
    <row r="19" spans="2:15" ht="24" customHeight="1">
      <c r="B19" s="9"/>
      <c r="C19" s="6"/>
      <c r="D19" s="6"/>
      <c r="E19" s="6"/>
      <c r="F19" s="113" t="s">
        <v>6</v>
      </c>
      <c r="G19" s="113"/>
      <c r="H19" s="113"/>
      <c r="I19" s="114">
        <v>45553</v>
      </c>
      <c r="J19" s="114"/>
      <c r="K19" s="114"/>
      <c r="L19" s="6"/>
      <c r="M19" s="6"/>
      <c r="N19" s="6"/>
      <c r="O19" s="7"/>
    </row>
    <row r="20" spans="2:15" ht="14.45">
      <c r="B20" s="9"/>
      <c r="C20" s="6"/>
      <c r="D20" s="6"/>
      <c r="E20" s="6"/>
      <c r="F20" s="6"/>
      <c r="G20" s="6"/>
      <c r="H20" s="6"/>
      <c r="I20" s="6"/>
      <c r="J20" s="6"/>
      <c r="K20" s="6"/>
      <c r="L20" s="6"/>
      <c r="M20" s="6"/>
      <c r="N20" s="6"/>
      <c r="O20" s="7"/>
    </row>
    <row r="21" spans="2:15" ht="14.45">
      <c r="B21" s="9"/>
      <c r="C21" s="6"/>
      <c r="D21" s="6"/>
      <c r="E21" s="6"/>
      <c r="F21" s="6"/>
      <c r="G21" s="6"/>
      <c r="H21" s="6"/>
      <c r="I21" s="6"/>
      <c r="J21" s="6"/>
      <c r="K21" s="6"/>
      <c r="L21" s="6"/>
      <c r="M21" s="6"/>
      <c r="N21" s="6"/>
      <c r="O21" s="7"/>
    </row>
    <row r="22" spans="2:15" ht="14.45">
      <c r="B22" s="9"/>
      <c r="C22" s="6"/>
      <c r="D22" s="6"/>
      <c r="E22" s="6"/>
      <c r="F22" s="6"/>
      <c r="G22" s="6"/>
      <c r="H22" s="6"/>
      <c r="I22" s="6"/>
      <c r="J22" s="6"/>
      <c r="K22" s="6"/>
      <c r="L22" s="6"/>
      <c r="M22" s="6"/>
      <c r="N22" s="6"/>
      <c r="O22" s="7"/>
    </row>
    <row r="23" spans="2:15" ht="14.45">
      <c r="B23" s="9"/>
      <c r="C23" s="6"/>
      <c r="D23" s="6"/>
      <c r="E23" s="6"/>
      <c r="F23" s="6"/>
      <c r="G23" s="6"/>
      <c r="H23" s="6"/>
      <c r="I23" s="6"/>
      <c r="J23" s="6"/>
      <c r="K23" s="6"/>
      <c r="L23" s="6"/>
      <c r="M23" s="6"/>
      <c r="N23" s="6"/>
      <c r="O23" s="7"/>
    </row>
    <row r="24" spans="2:15" ht="14.45">
      <c r="B24" s="9"/>
      <c r="C24" s="6"/>
      <c r="D24" s="6"/>
      <c r="E24" s="6"/>
      <c r="F24" s="6"/>
      <c r="G24" s="6"/>
      <c r="H24" s="6"/>
      <c r="I24" s="6"/>
      <c r="J24" s="6"/>
      <c r="K24" s="6"/>
      <c r="L24" s="6"/>
      <c r="M24" s="6"/>
      <c r="N24" s="6"/>
      <c r="O24" s="7"/>
    </row>
    <row r="25" spans="2:15" ht="14.45">
      <c r="B25" s="9"/>
      <c r="C25" s="6"/>
      <c r="D25" s="6"/>
      <c r="E25" s="6"/>
      <c r="F25" s="6"/>
      <c r="G25" s="6"/>
      <c r="H25" s="6"/>
      <c r="I25" s="6"/>
      <c r="J25" s="6"/>
      <c r="K25" s="6"/>
      <c r="L25" s="6"/>
      <c r="M25" s="6"/>
      <c r="N25" s="6"/>
      <c r="O25" s="7"/>
    </row>
    <row r="26" spans="2:15" ht="14.45">
      <c r="B26" s="9"/>
      <c r="C26" s="6"/>
      <c r="D26" s="6"/>
      <c r="E26" s="6"/>
      <c r="F26" s="6"/>
      <c r="G26" s="6"/>
      <c r="H26" s="6"/>
      <c r="I26" s="6"/>
      <c r="J26" s="6"/>
      <c r="K26" s="6"/>
      <c r="L26" s="6"/>
      <c r="M26" s="6"/>
      <c r="N26" s="6"/>
      <c r="O26" s="7"/>
    </row>
    <row r="27" spans="2:15" ht="14.45">
      <c r="B27" s="15"/>
      <c r="C27" s="16"/>
      <c r="D27" s="16"/>
      <c r="E27" s="16"/>
      <c r="F27" s="16"/>
      <c r="G27" s="16"/>
      <c r="H27" s="16"/>
      <c r="I27" s="16"/>
      <c r="J27" s="16"/>
      <c r="K27" s="16"/>
      <c r="L27" s="16"/>
      <c r="M27" s="16"/>
      <c r="N27" s="16"/>
      <c r="O27" s="17"/>
    </row>
  </sheetData>
  <sheetProtection selectLockedCells="1" selectUnlockedCells="1"/>
  <mergeCells count="8">
    <mergeCell ref="F19:H19"/>
    <mergeCell ref="I19:K19"/>
    <mergeCell ref="B11:O11"/>
    <mergeCell ref="B13:O13"/>
    <mergeCell ref="F17:H17"/>
    <mergeCell ref="I17:K17"/>
    <mergeCell ref="F18:H18"/>
    <mergeCell ref="I18:K18"/>
  </mergeCells>
  <phoneticPr fontId="23"/>
  <pageMargins left="0.70000000000000007" right="0.70000000000000007" top="0.75" bottom="0.75" header="0.51181102362204722" footer="0.51181102362204722"/>
  <pageSetup paperSize="9"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abSelected="1" zoomScale="90" zoomScaleNormal="90" zoomScaleSheetLayoutView="100" workbookViewId="0">
      <selection activeCell="C6" sqref="C6:F6"/>
    </sheetView>
  </sheetViews>
  <sheetFormatPr defaultColWidth="9.140625" defaultRowHeight="13.15"/>
  <cols>
    <col min="1" max="1" width="4.85546875" style="18" customWidth="1"/>
    <col min="2" max="2" width="24.140625" style="18" customWidth="1"/>
    <col min="3" max="3" width="32.42578125" style="18" customWidth="1"/>
    <col min="4" max="4" width="22.28515625" style="18" customWidth="1"/>
    <col min="5" max="5" width="56.28515625" style="18" customWidth="1"/>
    <col min="6" max="6" width="12.42578125" style="18" customWidth="1"/>
    <col min="7" max="7" width="2.85546875" style="18" customWidth="1"/>
    <col min="8" max="16384" width="9.140625" style="18"/>
  </cols>
  <sheetData>
    <row r="1" spans="1:7" ht="29.25" customHeight="1">
      <c r="A1" s="133" t="s">
        <v>7</v>
      </c>
      <c r="B1" s="133"/>
      <c r="C1" s="133"/>
      <c r="D1" s="133"/>
      <c r="E1" s="133"/>
      <c r="F1" s="133"/>
    </row>
    <row r="2" spans="1:7">
      <c r="A2" s="139" t="s">
        <v>8</v>
      </c>
      <c r="B2" s="139"/>
      <c r="C2" s="139"/>
      <c r="D2" s="139"/>
      <c r="E2" s="139"/>
      <c r="F2" s="139"/>
    </row>
    <row r="3" spans="1:7">
      <c r="A3" s="139" t="s">
        <v>9</v>
      </c>
      <c r="B3" s="139"/>
      <c r="C3" s="139"/>
      <c r="D3" s="139"/>
      <c r="E3" s="139"/>
      <c r="F3" s="139"/>
    </row>
    <row r="4" spans="1:7">
      <c r="A4" s="19"/>
    </row>
    <row r="5" spans="1:7" ht="15.75" customHeight="1">
      <c r="A5" s="20">
        <v>1</v>
      </c>
      <c r="B5" s="37" t="s">
        <v>10</v>
      </c>
      <c r="C5" s="134" t="s">
        <v>11</v>
      </c>
      <c r="D5" s="135"/>
      <c r="E5" s="135"/>
      <c r="F5" s="135"/>
    </row>
    <row r="6" spans="1:7" ht="18.75" customHeight="1">
      <c r="A6" s="21">
        <v>2</v>
      </c>
      <c r="B6" s="38" t="s">
        <v>12</v>
      </c>
      <c r="C6" s="136" t="s">
        <v>13</v>
      </c>
      <c r="D6" s="137"/>
      <c r="E6" s="137"/>
      <c r="F6" s="137"/>
    </row>
    <row r="7" spans="1:7" ht="19.5" customHeight="1">
      <c r="A7" s="21">
        <v>3</v>
      </c>
      <c r="B7" s="38" t="s">
        <v>14</v>
      </c>
      <c r="C7" s="138" t="s">
        <v>15</v>
      </c>
      <c r="D7" s="125"/>
      <c r="E7" s="125"/>
      <c r="F7" s="125"/>
    </row>
    <row r="8" spans="1:7" ht="18" customHeight="1">
      <c r="A8" s="21">
        <v>4</v>
      </c>
      <c r="B8" s="38" t="s">
        <v>16</v>
      </c>
      <c r="C8" s="138" t="s">
        <v>17</v>
      </c>
      <c r="D8" s="125"/>
      <c r="E8" s="125"/>
      <c r="F8" s="125"/>
    </row>
    <row r="9" spans="1:7" ht="29.25" customHeight="1">
      <c r="A9" s="21">
        <v>5</v>
      </c>
      <c r="B9" s="38" t="s">
        <v>18</v>
      </c>
      <c r="C9" s="138" t="s">
        <v>19</v>
      </c>
      <c r="D9" s="125"/>
      <c r="E9" s="125"/>
      <c r="F9" s="125"/>
    </row>
    <row r="10" spans="1:7" ht="40.5" customHeight="1">
      <c r="A10" s="21">
        <v>6</v>
      </c>
      <c r="B10" s="39" t="s">
        <v>20</v>
      </c>
      <c r="C10" s="138" t="s">
        <v>21</v>
      </c>
      <c r="D10" s="125"/>
      <c r="E10" s="125"/>
      <c r="F10" s="125"/>
    </row>
    <row r="11" spans="1:7" ht="50.25" customHeight="1">
      <c r="A11" s="21">
        <v>7</v>
      </c>
      <c r="B11" s="39" t="s">
        <v>22</v>
      </c>
      <c r="C11" s="138" t="s">
        <v>23</v>
      </c>
      <c r="D11" s="125"/>
      <c r="E11" s="125"/>
      <c r="F11" s="125"/>
    </row>
    <row r="12" spans="1:7" ht="296.45" customHeight="1">
      <c r="A12" s="21">
        <v>8</v>
      </c>
      <c r="B12" s="38" t="s">
        <v>24</v>
      </c>
      <c r="C12" s="140" t="s">
        <v>25</v>
      </c>
      <c r="D12" s="141"/>
      <c r="E12" s="142" t="s">
        <v>26</v>
      </c>
      <c r="F12" s="143"/>
      <c r="G12" s="22"/>
    </row>
    <row r="13" spans="1:7" ht="39" customHeight="1">
      <c r="A13" s="21">
        <v>9</v>
      </c>
      <c r="B13" s="38" t="s">
        <v>27</v>
      </c>
      <c r="C13" s="35" t="s">
        <v>28</v>
      </c>
      <c r="D13" s="42" t="s">
        <v>29</v>
      </c>
      <c r="E13" s="40" t="s">
        <v>30</v>
      </c>
      <c r="F13" s="76" t="s">
        <v>31</v>
      </c>
      <c r="G13" s="22"/>
    </row>
    <row r="14" spans="1:7" ht="12.75" customHeight="1">
      <c r="A14" s="121">
        <v>10</v>
      </c>
      <c r="B14" s="128" t="s">
        <v>32</v>
      </c>
      <c r="C14" s="35" t="s">
        <v>33</v>
      </c>
      <c r="D14" s="23">
        <f>CourseTitle_Schedule!I40</f>
        <v>0</v>
      </c>
      <c r="E14" s="41" t="s">
        <v>34</v>
      </c>
      <c r="F14" s="129" t="str">
        <f>ROUND(CourseTitle_Schedule!G48, 0) &amp;" hour(s)"</f>
        <v>41 hour(s)</v>
      </c>
    </row>
    <row r="15" spans="1:7">
      <c r="A15" s="122"/>
      <c r="B15" s="128"/>
      <c r="C15" s="35" t="s">
        <v>35</v>
      </c>
      <c r="D15" s="23">
        <f>CourseTitle_Schedule!I42</f>
        <v>0</v>
      </c>
      <c r="E15" s="41" t="s">
        <v>36</v>
      </c>
      <c r="F15" s="130"/>
    </row>
    <row r="16" spans="1:7">
      <c r="A16" s="122"/>
      <c r="B16" s="128"/>
      <c r="C16" s="35" t="s">
        <v>37</v>
      </c>
      <c r="D16" s="23">
        <f>CourseTitle_Schedule!I43</f>
        <v>0</v>
      </c>
      <c r="E16" s="41" t="s">
        <v>38</v>
      </c>
      <c r="F16" s="130"/>
    </row>
    <row r="17" spans="1:6">
      <c r="A17" s="122"/>
      <c r="B17" s="128"/>
      <c r="C17" s="35" t="s">
        <v>39</v>
      </c>
      <c r="D17" s="23">
        <f>CourseTitle_Schedule!I44</f>
        <v>0</v>
      </c>
      <c r="E17" s="41" t="s">
        <v>40</v>
      </c>
      <c r="F17" s="130"/>
    </row>
    <row r="18" spans="1:6" ht="30.75" customHeight="1">
      <c r="A18" s="127"/>
      <c r="B18" s="128"/>
      <c r="C18" s="35" t="s">
        <v>41</v>
      </c>
      <c r="D18" s="23">
        <f>CourseTitle_Schedule!I45</f>
        <v>0</v>
      </c>
      <c r="E18" s="41" t="s">
        <v>42</v>
      </c>
      <c r="F18" s="130"/>
    </row>
    <row r="19" spans="1:6" ht="21.75" customHeight="1">
      <c r="A19" s="121">
        <v>11</v>
      </c>
      <c r="B19" s="131" t="s">
        <v>43</v>
      </c>
      <c r="C19" s="35" t="s">
        <v>44</v>
      </c>
      <c r="D19" s="132" t="s">
        <v>45</v>
      </c>
      <c r="E19" s="132"/>
      <c r="F19" s="132"/>
    </row>
    <row r="20" spans="1:6" ht="159.6" customHeight="1">
      <c r="A20" s="122"/>
      <c r="B20" s="131"/>
      <c r="C20" s="35" t="s">
        <v>46</v>
      </c>
      <c r="D20" s="144" t="s">
        <v>47</v>
      </c>
      <c r="E20" s="132"/>
      <c r="F20" s="132"/>
    </row>
    <row r="21" spans="1:6" ht="18.75" customHeight="1">
      <c r="A21" s="127"/>
      <c r="B21" s="131"/>
      <c r="C21" s="35" t="s">
        <v>48</v>
      </c>
      <c r="D21" s="125" t="s">
        <v>49</v>
      </c>
      <c r="E21" s="125"/>
      <c r="F21" s="125"/>
    </row>
    <row r="22" spans="1:6" ht="21.75" customHeight="1">
      <c r="A22" s="121">
        <v>12</v>
      </c>
      <c r="B22" s="128" t="s">
        <v>50</v>
      </c>
      <c r="C22" s="35" t="s">
        <v>51</v>
      </c>
      <c r="D22" s="125" t="s">
        <v>52</v>
      </c>
      <c r="E22" s="125"/>
      <c r="F22" s="125"/>
    </row>
    <row r="23" spans="1:6" ht="24.75" customHeight="1">
      <c r="A23" s="122"/>
      <c r="B23" s="128"/>
      <c r="C23" s="35" t="s">
        <v>53</v>
      </c>
      <c r="D23" s="125" t="s">
        <v>54</v>
      </c>
      <c r="E23" s="125"/>
      <c r="F23" s="125"/>
    </row>
    <row r="24" spans="1:6" ht="23.25" customHeight="1">
      <c r="A24" s="127"/>
      <c r="B24" s="128"/>
      <c r="C24" s="35" t="s">
        <v>55</v>
      </c>
      <c r="D24" s="125" t="s">
        <v>56</v>
      </c>
      <c r="E24" s="125"/>
      <c r="F24" s="125"/>
    </row>
    <row r="25" spans="1:6" ht="24" customHeight="1">
      <c r="A25" s="121">
        <v>13</v>
      </c>
      <c r="B25" s="124" t="s">
        <v>57</v>
      </c>
      <c r="C25" s="35" t="s">
        <v>58</v>
      </c>
      <c r="D25" s="125" t="s">
        <v>59</v>
      </c>
      <c r="E25" s="125"/>
      <c r="F25" s="125"/>
    </row>
    <row r="26" spans="1:6" ht="23.25" customHeight="1">
      <c r="A26" s="122"/>
      <c r="B26" s="124"/>
      <c r="C26" s="35" t="s">
        <v>60</v>
      </c>
      <c r="D26" s="125" t="s">
        <v>61</v>
      </c>
      <c r="E26" s="125"/>
      <c r="F26" s="125"/>
    </row>
    <row r="27" spans="1:6" ht="75.75" customHeight="1">
      <c r="A27" s="122"/>
      <c r="B27" s="124"/>
      <c r="C27" s="35" t="s">
        <v>62</v>
      </c>
      <c r="D27" s="125" t="s">
        <v>63</v>
      </c>
      <c r="E27" s="125"/>
      <c r="F27" s="125"/>
    </row>
    <row r="28" spans="1:6" ht="20.25" customHeight="1">
      <c r="A28" s="122"/>
      <c r="B28" s="124"/>
      <c r="C28" s="35" t="s">
        <v>64</v>
      </c>
      <c r="D28" s="125" t="s">
        <v>65</v>
      </c>
      <c r="E28" s="125"/>
      <c r="F28" s="125"/>
    </row>
    <row r="29" spans="1:6" ht="21.75" customHeight="1">
      <c r="A29" s="122"/>
      <c r="B29" s="124"/>
      <c r="C29" s="35" t="s">
        <v>66</v>
      </c>
      <c r="D29" s="125"/>
      <c r="E29" s="125"/>
      <c r="F29" s="125"/>
    </row>
    <row r="30" spans="1:6" ht="16.5" customHeight="1">
      <c r="A30" s="122"/>
      <c r="B30" s="124"/>
      <c r="C30" s="35" t="s">
        <v>67</v>
      </c>
      <c r="D30" s="125"/>
      <c r="E30" s="125"/>
      <c r="F30" s="125"/>
    </row>
    <row r="31" spans="1:6" ht="20.25" customHeight="1">
      <c r="A31" s="123"/>
      <c r="B31" s="124"/>
      <c r="C31" s="36" t="s">
        <v>68</v>
      </c>
      <c r="D31" s="126"/>
      <c r="E31" s="126"/>
      <c r="F31" s="126"/>
    </row>
  </sheetData>
  <sheetProtection selectLockedCells="1" selectUnlockedCells="1"/>
  <mergeCells count="34">
    <mergeCell ref="C10:F10"/>
    <mergeCell ref="C9:F9"/>
    <mergeCell ref="C12:D12"/>
    <mergeCell ref="E12:F12"/>
    <mergeCell ref="D20:F20"/>
    <mergeCell ref="C11:F11"/>
    <mergeCell ref="A1:F1"/>
    <mergeCell ref="C5:F5"/>
    <mergeCell ref="C6:F6"/>
    <mergeCell ref="C7:F7"/>
    <mergeCell ref="C8:F8"/>
    <mergeCell ref="A2:F2"/>
    <mergeCell ref="A3:F3"/>
    <mergeCell ref="A14:A18"/>
    <mergeCell ref="B14:B18"/>
    <mergeCell ref="F14:F18"/>
    <mergeCell ref="A19:A21"/>
    <mergeCell ref="B19:B21"/>
    <mergeCell ref="D19:F19"/>
    <mergeCell ref="D21:F21"/>
    <mergeCell ref="A22:A24"/>
    <mergeCell ref="B22:B24"/>
    <mergeCell ref="D22:F22"/>
    <mergeCell ref="D23:F23"/>
    <mergeCell ref="D24:F24"/>
    <mergeCell ref="A25:A31"/>
    <mergeCell ref="B25:B31"/>
    <mergeCell ref="D25:F25"/>
    <mergeCell ref="D26:F26"/>
    <mergeCell ref="D27:F27"/>
    <mergeCell ref="D28:F28"/>
    <mergeCell ref="D29:F29"/>
    <mergeCell ref="D30:F30"/>
    <mergeCell ref="D31:F31"/>
  </mergeCells>
  <phoneticPr fontId="23"/>
  <dataValidations count="1">
    <dataValidation type="list" allowBlank="1" showInputMessage="1" showErrorMessage="1" sqref="D13" xr:uid="{00000000-0002-0000-0100-000000000000}">
      <formula1>"Course Completion,International Certificate,Educational Certificate"</formula1>
    </dataValidation>
  </dataValidations>
  <hyperlinks>
    <hyperlink ref="D19:F19" r:id="rId1" display="https://trailhead.salesforce.com/ja/users/strailhead/trailmixes/prepare-for-your-salesforce-platform-app-builder-credential" xr:uid="{3226F354-FD62-4579-BE6B-2F06FED16D32}"/>
    <hyperlink ref="D20:F20" r:id="rId2" display="https://trailhead.salesforce.com/ja/users/strailhead/trailmixes/prepare-for-your-salesforce-platform-app-builder-credential" xr:uid="{E0540BBA-8B19-49A4-845E-3D49217CD8D4}"/>
  </hyperlinks>
  <pageMargins left="0.70833333333333337" right="0.70833333333333337" top="0.31527777777777777" bottom="0.31458333333333333" header="0.51181102362204722" footer="0.23611111111111113"/>
  <pageSetup paperSize="9" scale="90" firstPageNumber="0" orientation="landscape" horizontalDpi="300" verticalDpi="300" r:id="rId3"/>
  <headerFooter alignWithMargins="0">
    <oddFooter>&amp;L18e-BM/DT/FSOFT v1/1&amp;CInternal use&amp;R&amp;P/&amp;N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50"/>
  <sheetViews>
    <sheetView zoomScale="76" zoomScaleNormal="76" zoomScaleSheetLayoutView="100" workbookViewId="0">
      <pane ySplit="2" topLeftCell="A3" activePane="bottomLeft" state="frozen"/>
      <selection pane="bottomLeft" activeCell="A3" sqref="A3"/>
    </sheetView>
  </sheetViews>
  <sheetFormatPr defaultColWidth="9" defaultRowHeight="13.15"/>
  <cols>
    <col min="1" max="1" width="18" style="24" customWidth="1"/>
    <col min="2" max="2" width="36.5703125" style="24" customWidth="1"/>
    <col min="3" max="3" width="16.28515625" style="53" customWidth="1"/>
    <col min="4" max="4" width="37" style="53" customWidth="1"/>
    <col min="5" max="5" width="31.42578125" style="53" customWidth="1"/>
    <col min="6" max="6" width="19" style="53" customWidth="1"/>
    <col min="7" max="7" width="12.5703125" style="53" customWidth="1"/>
    <col min="8" max="8" width="12.140625" style="24" customWidth="1"/>
    <col min="9" max="9" width="15.28515625" style="53" customWidth="1"/>
    <col min="10" max="10" width="9.140625" style="53" customWidth="1"/>
    <col min="11" max="11" width="101.85546875" style="58" customWidth="1"/>
    <col min="12" max="16384" width="9" style="24"/>
  </cols>
  <sheetData>
    <row r="1" spans="1:11" ht="36.75" customHeight="1">
      <c r="A1" s="34" t="str">
        <f>CourseTitle_Syllabus!C5&amp;" - Training Schedule"</f>
        <v>- Platform App Builder [For Dev, Admin] - Training Schedule</v>
      </c>
      <c r="B1" s="31"/>
      <c r="C1" s="31"/>
      <c r="D1" s="31"/>
      <c r="E1" s="31"/>
      <c r="F1" s="31"/>
      <c r="G1" s="77" t="s">
        <v>69</v>
      </c>
      <c r="H1" s="77" t="s">
        <v>70</v>
      </c>
      <c r="I1" s="31"/>
      <c r="J1" s="31"/>
      <c r="K1" s="57"/>
    </row>
    <row r="2" spans="1:11" s="61" customFormat="1" ht="39" customHeight="1">
      <c r="A2" s="72" t="s">
        <v>71</v>
      </c>
      <c r="B2" s="62" t="s">
        <v>72</v>
      </c>
      <c r="C2" s="70" t="s">
        <v>73</v>
      </c>
      <c r="D2" s="62" t="s">
        <v>74</v>
      </c>
      <c r="E2" s="64" t="s">
        <v>75</v>
      </c>
      <c r="F2" s="60" t="s">
        <v>76</v>
      </c>
      <c r="G2" s="60" t="s">
        <v>77</v>
      </c>
      <c r="H2" s="60" t="s">
        <v>77</v>
      </c>
      <c r="I2" s="60" t="s">
        <v>78</v>
      </c>
      <c r="J2" s="60" t="s">
        <v>79</v>
      </c>
      <c r="K2" s="59" t="s">
        <v>80</v>
      </c>
    </row>
    <row r="3" spans="1:11" s="82" customFormat="1" ht="25.9" customHeight="1">
      <c r="A3" s="88" t="s">
        <v>81</v>
      </c>
      <c r="B3" s="89" t="s">
        <v>82</v>
      </c>
      <c r="C3" s="90">
        <v>45553</v>
      </c>
      <c r="D3" s="88" t="s">
        <v>83</v>
      </c>
      <c r="E3" s="91" t="s">
        <v>84</v>
      </c>
      <c r="F3" s="92" t="s">
        <v>85</v>
      </c>
      <c r="G3" s="92"/>
      <c r="H3" s="93">
        <v>120</v>
      </c>
      <c r="I3" s="94" t="s">
        <v>86</v>
      </c>
      <c r="J3" s="95" t="s">
        <v>87</v>
      </c>
      <c r="K3" s="84" t="s">
        <v>88</v>
      </c>
    </row>
    <row r="4" spans="1:11" ht="19.899999999999999" customHeight="1">
      <c r="A4" s="79" t="s">
        <v>89</v>
      </c>
      <c r="B4" s="85" t="s">
        <v>90</v>
      </c>
      <c r="C4" s="71">
        <v>45555</v>
      </c>
      <c r="D4" s="78" t="s">
        <v>91</v>
      </c>
      <c r="E4" s="65" t="s">
        <v>92</v>
      </c>
      <c r="F4" s="69" t="s">
        <v>35</v>
      </c>
      <c r="G4" s="69">
        <v>180</v>
      </c>
      <c r="H4" s="68" t="s">
        <v>93</v>
      </c>
      <c r="I4" s="52" t="s">
        <v>93</v>
      </c>
      <c r="J4" s="67" t="s">
        <v>94</v>
      </c>
      <c r="K4" s="81" t="s">
        <v>95</v>
      </c>
    </row>
    <row r="5" spans="1:11" ht="29.45" customHeight="1">
      <c r="A5" s="79" t="s">
        <v>96</v>
      </c>
      <c r="B5" s="78" t="s">
        <v>97</v>
      </c>
      <c r="C5" s="71">
        <v>45555</v>
      </c>
      <c r="D5" s="78" t="s">
        <v>91</v>
      </c>
      <c r="E5" s="65" t="s">
        <v>92</v>
      </c>
      <c r="F5" s="69" t="s">
        <v>35</v>
      </c>
      <c r="G5" s="69">
        <v>95</v>
      </c>
      <c r="H5" s="68" t="s">
        <v>93</v>
      </c>
      <c r="I5" s="52" t="s">
        <v>93</v>
      </c>
      <c r="J5" s="67" t="s">
        <v>94</v>
      </c>
      <c r="K5" s="81" t="s">
        <v>95</v>
      </c>
    </row>
    <row r="6" spans="1:11" ht="19.899999999999999" customHeight="1">
      <c r="A6" s="79" t="s">
        <v>98</v>
      </c>
      <c r="B6" s="78" t="s">
        <v>99</v>
      </c>
      <c r="C6" s="71">
        <v>45558</v>
      </c>
      <c r="D6" s="78" t="s">
        <v>91</v>
      </c>
      <c r="E6" s="65" t="s">
        <v>92</v>
      </c>
      <c r="F6" s="69" t="s">
        <v>35</v>
      </c>
      <c r="G6" s="69">
        <v>45</v>
      </c>
      <c r="H6" s="68" t="s">
        <v>93</v>
      </c>
      <c r="I6" s="52" t="s">
        <v>93</v>
      </c>
      <c r="J6" s="67" t="s">
        <v>94</v>
      </c>
      <c r="K6" s="81" t="s">
        <v>95</v>
      </c>
    </row>
    <row r="7" spans="1:11" ht="19.899999999999999" customHeight="1">
      <c r="A7" s="79" t="s">
        <v>100</v>
      </c>
      <c r="B7" s="78" t="s">
        <v>101</v>
      </c>
      <c r="C7" s="71">
        <v>45558</v>
      </c>
      <c r="D7" s="78" t="s">
        <v>91</v>
      </c>
      <c r="E7" s="65" t="s">
        <v>92</v>
      </c>
      <c r="F7" s="69" t="s">
        <v>35</v>
      </c>
      <c r="G7" s="69">
        <v>110</v>
      </c>
      <c r="H7" s="68" t="s">
        <v>93</v>
      </c>
      <c r="I7" s="52" t="s">
        <v>93</v>
      </c>
      <c r="J7" s="67" t="s">
        <v>94</v>
      </c>
      <c r="K7" s="81" t="s">
        <v>95</v>
      </c>
    </row>
    <row r="8" spans="1:11" ht="31.15" customHeight="1">
      <c r="A8" s="79" t="s">
        <v>102</v>
      </c>
      <c r="B8" s="78" t="s">
        <v>103</v>
      </c>
      <c r="C8" s="71">
        <v>45558</v>
      </c>
      <c r="D8" s="78" t="s">
        <v>91</v>
      </c>
      <c r="E8" s="65" t="s">
        <v>92</v>
      </c>
      <c r="F8" s="69" t="s">
        <v>35</v>
      </c>
      <c r="G8" s="69">
        <v>35</v>
      </c>
      <c r="H8" s="68" t="s">
        <v>93</v>
      </c>
      <c r="I8" s="52" t="s">
        <v>93</v>
      </c>
      <c r="J8" s="67" t="s">
        <v>94</v>
      </c>
      <c r="K8" s="81" t="s">
        <v>95</v>
      </c>
    </row>
    <row r="9" spans="1:11" s="82" customFormat="1" ht="25.9" customHeight="1">
      <c r="A9" s="88" t="s">
        <v>81</v>
      </c>
      <c r="B9" s="89" t="s">
        <v>104</v>
      </c>
      <c r="C9" s="90">
        <v>45560</v>
      </c>
      <c r="D9" s="88" t="s">
        <v>83</v>
      </c>
      <c r="E9" s="91" t="s">
        <v>84</v>
      </c>
      <c r="F9" s="92" t="s">
        <v>85</v>
      </c>
      <c r="G9" s="92"/>
      <c r="H9" s="93">
        <v>120</v>
      </c>
      <c r="I9" s="94" t="s">
        <v>86</v>
      </c>
      <c r="J9" s="95" t="s">
        <v>87</v>
      </c>
      <c r="K9" s="84" t="s">
        <v>88</v>
      </c>
    </row>
    <row r="10" spans="1:11" ht="31.5" customHeight="1">
      <c r="A10" s="79" t="s">
        <v>105</v>
      </c>
      <c r="B10" s="78" t="s">
        <v>106</v>
      </c>
      <c r="C10" s="71">
        <v>45562</v>
      </c>
      <c r="D10" s="78" t="s">
        <v>91</v>
      </c>
      <c r="E10" s="65" t="s">
        <v>92</v>
      </c>
      <c r="F10" s="69" t="s">
        <v>35</v>
      </c>
      <c r="G10" s="69">
        <v>110</v>
      </c>
      <c r="H10" s="68" t="s">
        <v>93</v>
      </c>
      <c r="I10" s="52" t="s">
        <v>93</v>
      </c>
      <c r="J10" s="67" t="s">
        <v>87</v>
      </c>
      <c r="K10" s="81" t="s">
        <v>95</v>
      </c>
    </row>
    <row r="11" spans="1:11" ht="31.5" customHeight="1">
      <c r="A11" s="79" t="s">
        <v>107</v>
      </c>
      <c r="B11" s="99" t="s">
        <v>108</v>
      </c>
      <c r="C11" s="71">
        <v>45562</v>
      </c>
      <c r="D11" s="78" t="s">
        <v>91</v>
      </c>
      <c r="E11" s="65" t="s">
        <v>92</v>
      </c>
      <c r="F11" s="69" t="s">
        <v>109</v>
      </c>
      <c r="G11" s="69">
        <v>100</v>
      </c>
      <c r="H11" s="68" t="s">
        <v>93</v>
      </c>
      <c r="I11" s="52" t="s">
        <v>93</v>
      </c>
      <c r="J11" s="67" t="s">
        <v>94</v>
      </c>
      <c r="K11" s="81" t="s">
        <v>95</v>
      </c>
    </row>
    <row r="12" spans="1:11" ht="31.5" customHeight="1">
      <c r="A12" s="79" t="s">
        <v>110</v>
      </c>
      <c r="B12" s="96" t="s">
        <v>111</v>
      </c>
      <c r="C12" s="71">
        <v>45565</v>
      </c>
      <c r="D12" s="78" t="s">
        <v>91</v>
      </c>
      <c r="E12" s="65" t="s">
        <v>92</v>
      </c>
      <c r="F12" s="69" t="s">
        <v>109</v>
      </c>
      <c r="G12" s="69">
        <v>360</v>
      </c>
      <c r="H12" s="68" t="s">
        <v>93</v>
      </c>
      <c r="I12" s="52" t="s">
        <v>93</v>
      </c>
      <c r="J12" s="67" t="s">
        <v>94</v>
      </c>
      <c r="K12" s="81" t="s">
        <v>95</v>
      </c>
    </row>
    <row r="13" spans="1:11" ht="30.6" customHeight="1">
      <c r="A13" s="79" t="s">
        <v>112</v>
      </c>
      <c r="B13" s="86" t="s">
        <v>113</v>
      </c>
      <c r="C13" s="71">
        <v>45565</v>
      </c>
      <c r="D13" s="78" t="s">
        <v>91</v>
      </c>
      <c r="E13" s="65" t="s">
        <v>92</v>
      </c>
      <c r="F13" s="69" t="s">
        <v>35</v>
      </c>
      <c r="G13" s="69">
        <v>65</v>
      </c>
      <c r="H13" s="68" t="s">
        <v>93</v>
      </c>
      <c r="I13" s="52" t="s">
        <v>93</v>
      </c>
      <c r="J13" s="67" t="s">
        <v>94</v>
      </c>
      <c r="K13" s="81" t="s">
        <v>95</v>
      </c>
    </row>
    <row r="14" spans="1:11" s="82" customFormat="1" ht="24.6" customHeight="1">
      <c r="A14" s="88" t="s">
        <v>114</v>
      </c>
      <c r="B14" s="89" t="s">
        <v>115</v>
      </c>
      <c r="C14" s="90">
        <v>45567</v>
      </c>
      <c r="D14" s="88" t="s">
        <v>116</v>
      </c>
      <c r="E14" s="91" t="s">
        <v>84</v>
      </c>
      <c r="F14" s="92" t="s">
        <v>85</v>
      </c>
      <c r="G14" s="92"/>
      <c r="H14" s="93">
        <v>120</v>
      </c>
      <c r="I14" s="94" t="s">
        <v>117</v>
      </c>
      <c r="J14" s="95" t="s">
        <v>87</v>
      </c>
      <c r="K14" s="83"/>
    </row>
    <row r="15" spans="1:11" ht="19.899999999999999" customHeight="1">
      <c r="A15" s="79" t="s">
        <v>118</v>
      </c>
      <c r="B15" s="80" t="s">
        <v>119</v>
      </c>
      <c r="C15" s="71">
        <v>45569</v>
      </c>
      <c r="D15" s="78" t="s">
        <v>120</v>
      </c>
      <c r="E15" s="65" t="s">
        <v>92</v>
      </c>
      <c r="F15" s="69" t="s">
        <v>35</v>
      </c>
      <c r="G15" s="69">
        <v>70</v>
      </c>
      <c r="H15" s="68" t="s">
        <v>93</v>
      </c>
      <c r="I15" s="52" t="s">
        <v>93</v>
      </c>
      <c r="J15" s="67" t="s">
        <v>94</v>
      </c>
      <c r="K15" s="81" t="s">
        <v>95</v>
      </c>
    </row>
    <row r="16" spans="1:11" ht="19.899999999999999" customHeight="1">
      <c r="A16" s="79" t="s">
        <v>121</v>
      </c>
      <c r="B16" s="78" t="s">
        <v>122</v>
      </c>
      <c r="C16" s="71">
        <v>45569</v>
      </c>
      <c r="D16" s="78" t="s">
        <v>120</v>
      </c>
      <c r="E16" s="65" t="s">
        <v>92</v>
      </c>
      <c r="F16" s="69" t="s">
        <v>35</v>
      </c>
      <c r="G16" s="69">
        <v>45</v>
      </c>
      <c r="H16" s="68" t="s">
        <v>93</v>
      </c>
      <c r="I16" s="52" t="s">
        <v>93</v>
      </c>
      <c r="J16" s="67" t="s">
        <v>94</v>
      </c>
      <c r="K16" s="81" t="s">
        <v>95</v>
      </c>
    </row>
    <row r="17" spans="1:11" ht="19.899999999999999" customHeight="1">
      <c r="A17" s="79" t="s">
        <v>123</v>
      </c>
      <c r="B17" s="78" t="s">
        <v>124</v>
      </c>
      <c r="C17" s="71">
        <v>45569</v>
      </c>
      <c r="D17" s="78" t="s">
        <v>120</v>
      </c>
      <c r="E17" s="65" t="s">
        <v>92</v>
      </c>
      <c r="F17" s="69" t="s">
        <v>35</v>
      </c>
      <c r="G17" s="69">
        <v>35</v>
      </c>
      <c r="H17" s="68" t="s">
        <v>93</v>
      </c>
      <c r="I17" s="52" t="s">
        <v>93</v>
      </c>
      <c r="J17" s="67" t="s">
        <v>94</v>
      </c>
      <c r="K17" s="81" t="s">
        <v>95</v>
      </c>
    </row>
    <row r="18" spans="1:11" ht="19.899999999999999" customHeight="1">
      <c r="A18" s="79" t="s">
        <v>125</v>
      </c>
      <c r="B18" s="78" t="s">
        <v>126</v>
      </c>
      <c r="C18" s="71">
        <v>45569</v>
      </c>
      <c r="D18" s="78" t="s">
        <v>120</v>
      </c>
      <c r="E18" s="65" t="s">
        <v>92</v>
      </c>
      <c r="F18" s="69" t="s">
        <v>35</v>
      </c>
      <c r="G18" s="69">
        <v>50</v>
      </c>
      <c r="H18" s="68" t="s">
        <v>93</v>
      </c>
      <c r="I18" s="52" t="s">
        <v>93</v>
      </c>
      <c r="J18" s="67" t="s">
        <v>94</v>
      </c>
      <c r="K18" s="81" t="s">
        <v>95</v>
      </c>
    </row>
    <row r="19" spans="1:11" ht="19.899999999999999" customHeight="1">
      <c r="A19" s="79" t="s">
        <v>127</v>
      </c>
      <c r="B19" s="78" t="s">
        <v>128</v>
      </c>
      <c r="C19" s="71">
        <v>45572</v>
      </c>
      <c r="D19" s="78" t="s">
        <v>120</v>
      </c>
      <c r="E19" s="65" t="s">
        <v>92</v>
      </c>
      <c r="F19" s="69" t="s">
        <v>35</v>
      </c>
      <c r="G19" s="69">
        <v>50</v>
      </c>
      <c r="H19" s="68" t="s">
        <v>93</v>
      </c>
      <c r="I19" s="52" t="s">
        <v>93</v>
      </c>
      <c r="J19" s="67" t="s">
        <v>94</v>
      </c>
      <c r="K19" s="81" t="s">
        <v>95</v>
      </c>
    </row>
    <row r="20" spans="1:11" ht="19.899999999999999" customHeight="1">
      <c r="A20" s="79" t="s">
        <v>129</v>
      </c>
      <c r="B20" s="96" t="s">
        <v>130</v>
      </c>
      <c r="C20" s="71">
        <v>45572</v>
      </c>
      <c r="D20" s="78" t="s">
        <v>120</v>
      </c>
      <c r="E20" s="65" t="s">
        <v>84</v>
      </c>
      <c r="F20" s="69" t="s">
        <v>109</v>
      </c>
      <c r="G20" s="69">
        <v>60</v>
      </c>
      <c r="H20" s="68" t="s">
        <v>93</v>
      </c>
      <c r="I20" s="52" t="s">
        <v>93</v>
      </c>
      <c r="J20" s="67" t="s">
        <v>94</v>
      </c>
      <c r="K20" s="81" t="s">
        <v>95</v>
      </c>
    </row>
    <row r="21" spans="1:11" ht="31.5" customHeight="1">
      <c r="A21" s="79" t="s">
        <v>131</v>
      </c>
      <c r="B21" s="96" t="s">
        <v>132</v>
      </c>
      <c r="C21" s="71">
        <v>45572</v>
      </c>
      <c r="D21" s="78" t="s">
        <v>120</v>
      </c>
      <c r="E21" s="65" t="s">
        <v>92</v>
      </c>
      <c r="F21" s="69" t="s">
        <v>109</v>
      </c>
      <c r="G21" s="69">
        <v>60</v>
      </c>
      <c r="H21" s="68" t="s">
        <v>93</v>
      </c>
      <c r="I21" s="52" t="s">
        <v>93</v>
      </c>
      <c r="J21" s="67" t="s">
        <v>94</v>
      </c>
      <c r="K21" s="81" t="s">
        <v>95</v>
      </c>
    </row>
    <row r="22" spans="1:11" s="82" customFormat="1" ht="31.15" customHeight="1">
      <c r="A22" s="88" t="s">
        <v>133</v>
      </c>
      <c r="B22" s="97" t="s">
        <v>134</v>
      </c>
      <c r="C22" s="90">
        <v>45574</v>
      </c>
      <c r="D22" s="88" t="s">
        <v>135</v>
      </c>
      <c r="E22" s="91" t="s">
        <v>84</v>
      </c>
      <c r="F22" s="92" t="s">
        <v>85</v>
      </c>
      <c r="G22" s="92"/>
      <c r="H22" s="93">
        <v>120</v>
      </c>
      <c r="I22" s="94" t="s">
        <v>86</v>
      </c>
      <c r="J22" s="95" t="s">
        <v>87</v>
      </c>
      <c r="K22" s="83"/>
    </row>
    <row r="23" spans="1:11" ht="19.899999999999999" customHeight="1">
      <c r="A23" s="79" t="s">
        <v>136</v>
      </c>
      <c r="B23" s="78" t="s">
        <v>137</v>
      </c>
      <c r="C23" s="71">
        <v>45576</v>
      </c>
      <c r="D23" s="78" t="s">
        <v>138</v>
      </c>
      <c r="E23" s="65" t="s">
        <v>92</v>
      </c>
      <c r="F23" s="69" t="s">
        <v>35</v>
      </c>
      <c r="G23" s="69">
        <v>60</v>
      </c>
      <c r="H23" s="68" t="s">
        <v>93</v>
      </c>
      <c r="I23" s="52" t="s">
        <v>93</v>
      </c>
      <c r="J23" s="67" t="s">
        <v>94</v>
      </c>
      <c r="K23" s="81" t="s">
        <v>95</v>
      </c>
    </row>
    <row r="24" spans="1:11" ht="19.899999999999999" customHeight="1">
      <c r="A24" s="79" t="s">
        <v>139</v>
      </c>
      <c r="B24" s="78" t="s">
        <v>140</v>
      </c>
      <c r="C24" s="71">
        <v>45576</v>
      </c>
      <c r="D24" s="78" t="s">
        <v>138</v>
      </c>
      <c r="E24" s="65" t="s">
        <v>92</v>
      </c>
      <c r="F24" s="69" t="s">
        <v>35</v>
      </c>
      <c r="G24" s="69">
        <v>10</v>
      </c>
      <c r="H24" s="68" t="s">
        <v>93</v>
      </c>
      <c r="I24" s="52" t="s">
        <v>93</v>
      </c>
      <c r="J24" s="67" t="s">
        <v>94</v>
      </c>
      <c r="K24" s="81" t="s">
        <v>95</v>
      </c>
    </row>
    <row r="25" spans="1:11" ht="31.5" customHeight="1">
      <c r="A25" s="79" t="s">
        <v>141</v>
      </c>
      <c r="B25" s="78" t="s">
        <v>142</v>
      </c>
      <c r="C25" s="71">
        <v>45576</v>
      </c>
      <c r="D25" s="78" t="s">
        <v>138</v>
      </c>
      <c r="E25" s="65" t="s">
        <v>92</v>
      </c>
      <c r="F25" s="69" t="s">
        <v>35</v>
      </c>
      <c r="G25" s="69">
        <v>30</v>
      </c>
      <c r="H25" s="68" t="s">
        <v>93</v>
      </c>
      <c r="I25" s="52" t="s">
        <v>93</v>
      </c>
      <c r="J25" s="67" t="s">
        <v>94</v>
      </c>
      <c r="K25" s="81" t="s">
        <v>95</v>
      </c>
    </row>
    <row r="26" spans="1:11" ht="19.899999999999999" customHeight="1">
      <c r="A26" s="79" t="s">
        <v>143</v>
      </c>
      <c r="B26" s="78" t="s">
        <v>144</v>
      </c>
      <c r="C26" s="71">
        <v>45576</v>
      </c>
      <c r="D26" s="78" t="s">
        <v>138</v>
      </c>
      <c r="E26" s="65" t="s">
        <v>92</v>
      </c>
      <c r="F26" s="69" t="s">
        <v>35</v>
      </c>
      <c r="G26" s="69">
        <v>130</v>
      </c>
      <c r="H26" s="68" t="s">
        <v>93</v>
      </c>
      <c r="I26" s="52" t="s">
        <v>93</v>
      </c>
      <c r="J26" s="67" t="s">
        <v>94</v>
      </c>
      <c r="K26" s="81" t="s">
        <v>95</v>
      </c>
    </row>
    <row r="27" spans="1:11" ht="19.899999999999999" customHeight="1">
      <c r="A27" s="79" t="s">
        <v>145</v>
      </c>
      <c r="B27" s="78" t="s">
        <v>146</v>
      </c>
      <c r="C27" s="71">
        <v>45579</v>
      </c>
      <c r="D27" s="78" t="s">
        <v>138</v>
      </c>
      <c r="E27" s="65" t="s">
        <v>92</v>
      </c>
      <c r="F27" s="69" t="s">
        <v>35</v>
      </c>
      <c r="G27" s="69">
        <v>65</v>
      </c>
      <c r="H27" s="68" t="s">
        <v>93</v>
      </c>
      <c r="I27" s="52" t="s">
        <v>93</v>
      </c>
      <c r="J27" s="67" t="s">
        <v>94</v>
      </c>
      <c r="K27" s="81" t="s">
        <v>95</v>
      </c>
    </row>
    <row r="28" spans="1:11" ht="19.899999999999999" customHeight="1">
      <c r="A28" s="79" t="s">
        <v>147</v>
      </c>
      <c r="B28" s="78" t="s">
        <v>148</v>
      </c>
      <c r="C28" s="71">
        <v>45579</v>
      </c>
      <c r="D28" s="78" t="s">
        <v>138</v>
      </c>
      <c r="E28" s="65" t="s">
        <v>92</v>
      </c>
      <c r="F28" s="69" t="s">
        <v>35</v>
      </c>
      <c r="G28" s="69">
        <v>10</v>
      </c>
      <c r="H28" s="68" t="s">
        <v>93</v>
      </c>
      <c r="I28" s="52" t="s">
        <v>93</v>
      </c>
      <c r="J28" s="67" t="s">
        <v>94</v>
      </c>
      <c r="K28" s="81" t="s">
        <v>95</v>
      </c>
    </row>
    <row r="29" spans="1:11" ht="19.899999999999999" customHeight="1">
      <c r="A29" s="79" t="s">
        <v>149</v>
      </c>
      <c r="B29" s="98" t="s">
        <v>150</v>
      </c>
      <c r="C29" s="71">
        <v>45579</v>
      </c>
      <c r="D29" s="78" t="s">
        <v>138</v>
      </c>
      <c r="E29" s="65" t="s">
        <v>92</v>
      </c>
      <c r="F29" s="69" t="s">
        <v>109</v>
      </c>
      <c r="G29" s="69">
        <v>125</v>
      </c>
      <c r="H29" s="68" t="s">
        <v>93</v>
      </c>
      <c r="I29" s="52" t="s">
        <v>93</v>
      </c>
      <c r="J29" s="67" t="s">
        <v>94</v>
      </c>
      <c r="K29" s="81" t="s">
        <v>95</v>
      </c>
    </row>
    <row r="30" spans="1:11" s="82" customFormat="1" ht="28.15" customHeight="1">
      <c r="A30" s="88" t="s">
        <v>151</v>
      </c>
      <c r="B30" s="97" t="s">
        <v>152</v>
      </c>
      <c r="C30" s="111">
        <v>45581</v>
      </c>
      <c r="D30" s="88" t="s">
        <v>153</v>
      </c>
      <c r="E30" s="91" t="s">
        <v>84</v>
      </c>
      <c r="F30" s="92" t="s">
        <v>85</v>
      </c>
      <c r="G30" s="92"/>
      <c r="H30" s="93">
        <v>120</v>
      </c>
      <c r="I30" s="94" t="s">
        <v>154</v>
      </c>
      <c r="J30" s="95" t="s">
        <v>87</v>
      </c>
      <c r="K30" s="83"/>
    </row>
    <row r="31" spans="1:11" ht="19.899999999999999" customHeight="1">
      <c r="A31" s="79" t="s">
        <v>155</v>
      </c>
      <c r="B31" s="78" t="s">
        <v>156</v>
      </c>
      <c r="C31" s="112">
        <v>45583</v>
      </c>
      <c r="D31" s="78" t="s">
        <v>157</v>
      </c>
      <c r="E31" s="65" t="s">
        <v>92</v>
      </c>
      <c r="F31" s="69" t="s">
        <v>35</v>
      </c>
      <c r="G31" s="69">
        <v>170</v>
      </c>
      <c r="H31" s="68" t="s">
        <v>93</v>
      </c>
      <c r="I31" s="52" t="s">
        <v>93</v>
      </c>
      <c r="J31" s="67" t="s">
        <v>94</v>
      </c>
      <c r="K31" s="81" t="s">
        <v>95</v>
      </c>
    </row>
    <row r="32" spans="1:11" ht="19.899999999999999" customHeight="1">
      <c r="A32" s="79" t="s">
        <v>158</v>
      </c>
      <c r="B32" s="78" t="s">
        <v>159</v>
      </c>
      <c r="C32" s="71">
        <v>45583</v>
      </c>
      <c r="D32" s="78" t="s">
        <v>160</v>
      </c>
      <c r="E32" s="65" t="s">
        <v>92</v>
      </c>
      <c r="F32" s="69" t="s">
        <v>35</v>
      </c>
      <c r="G32" s="69">
        <v>30</v>
      </c>
      <c r="H32" s="68" t="s">
        <v>93</v>
      </c>
      <c r="I32" s="52" t="s">
        <v>93</v>
      </c>
      <c r="J32" s="67" t="s">
        <v>94</v>
      </c>
      <c r="K32" s="81" t="s">
        <v>95</v>
      </c>
    </row>
    <row r="33" spans="1:11" ht="19.899999999999999" customHeight="1">
      <c r="A33" s="79" t="s">
        <v>161</v>
      </c>
      <c r="B33" s="78" t="s">
        <v>162</v>
      </c>
      <c r="C33" s="71">
        <v>45586</v>
      </c>
      <c r="D33" s="78" t="s">
        <v>160</v>
      </c>
      <c r="E33" s="65" t="s">
        <v>92</v>
      </c>
      <c r="F33" s="69" t="s">
        <v>35</v>
      </c>
      <c r="G33" s="69">
        <v>35</v>
      </c>
      <c r="H33" s="68" t="s">
        <v>93</v>
      </c>
      <c r="I33" s="52" t="s">
        <v>93</v>
      </c>
      <c r="J33" s="67" t="s">
        <v>94</v>
      </c>
      <c r="K33" s="81" t="s">
        <v>95</v>
      </c>
    </row>
    <row r="34" spans="1:11" ht="31.9" customHeight="1">
      <c r="A34" s="87" t="s">
        <v>163</v>
      </c>
      <c r="B34" s="86" t="s">
        <v>164</v>
      </c>
      <c r="C34" s="71">
        <v>45586</v>
      </c>
      <c r="D34" s="86" t="s">
        <v>165</v>
      </c>
      <c r="E34" s="65" t="s">
        <v>92</v>
      </c>
      <c r="F34" s="69" t="s">
        <v>35</v>
      </c>
      <c r="G34" s="69">
        <v>30</v>
      </c>
      <c r="H34" s="68" t="s">
        <v>93</v>
      </c>
      <c r="I34" s="52" t="s">
        <v>93</v>
      </c>
      <c r="J34" s="67" t="s">
        <v>94</v>
      </c>
      <c r="K34" s="81" t="s">
        <v>95</v>
      </c>
    </row>
    <row r="35" spans="1:11" s="82" customFormat="1" ht="28.15" customHeight="1">
      <c r="A35" s="100"/>
      <c r="B35" s="101" t="s">
        <v>166</v>
      </c>
      <c r="C35" s="102">
        <v>45588</v>
      </c>
      <c r="D35" s="100"/>
      <c r="E35" s="91" t="s">
        <v>84</v>
      </c>
      <c r="F35" s="92" t="s">
        <v>167</v>
      </c>
      <c r="G35" s="92"/>
      <c r="H35" s="93">
        <v>120</v>
      </c>
      <c r="I35" s="94" t="s">
        <v>154</v>
      </c>
      <c r="J35" s="95" t="s">
        <v>87</v>
      </c>
      <c r="K35" s="83"/>
    </row>
    <row r="36" spans="1:11" ht="19.899999999999999" customHeight="1">
      <c r="A36" s="79"/>
      <c r="B36" s="78" t="s">
        <v>168</v>
      </c>
      <c r="C36" s="71" t="s">
        <v>169</v>
      </c>
      <c r="D36" s="78"/>
      <c r="E36" s="65" t="s">
        <v>92</v>
      </c>
      <c r="F36" s="69" t="s">
        <v>35</v>
      </c>
      <c r="G36" s="69">
        <v>180</v>
      </c>
      <c r="H36" s="68" t="s">
        <v>93</v>
      </c>
      <c r="I36" s="52" t="s">
        <v>93</v>
      </c>
      <c r="J36" s="67" t="s">
        <v>94</v>
      </c>
      <c r="K36" s="81"/>
    </row>
    <row r="37" spans="1:11" s="82" customFormat="1" ht="28.15" customHeight="1">
      <c r="A37" s="100"/>
      <c r="B37" s="101" t="s">
        <v>166</v>
      </c>
      <c r="C37" s="102">
        <v>45595</v>
      </c>
      <c r="D37" s="100"/>
      <c r="E37" s="91" t="s">
        <v>84</v>
      </c>
      <c r="F37" s="92" t="s">
        <v>167</v>
      </c>
      <c r="G37" s="92"/>
      <c r="H37" s="93">
        <v>120</v>
      </c>
      <c r="I37" s="94" t="s">
        <v>86</v>
      </c>
      <c r="J37" s="95" t="s">
        <v>87</v>
      </c>
      <c r="K37" s="83"/>
    </row>
    <row r="38" spans="1:11" s="109" customFormat="1" ht="96" customHeight="1">
      <c r="A38" s="104" t="s">
        <v>170</v>
      </c>
      <c r="B38" s="110" t="s">
        <v>171</v>
      </c>
      <c r="C38" s="103">
        <v>45596</v>
      </c>
      <c r="D38" s="104"/>
      <c r="E38" s="105" t="s">
        <v>92</v>
      </c>
      <c r="F38" s="106" t="s">
        <v>35</v>
      </c>
      <c r="G38" s="106">
        <v>105</v>
      </c>
      <c r="H38" s="68" t="s">
        <v>93</v>
      </c>
      <c r="I38" s="52" t="s">
        <v>93</v>
      </c>
      <c r="J38" s="107" t="s">
        <v>94</v>
      </c>
      <c r="K38" s="108"/>
    </row>
    <row r="39" spans="1:11">
      <c r="H39" s="25"/>
    </row>
    <row r="40" spans="1:11">
      <c r="F40" s="54" t="s">
        <v>172</v>
      </c>
      <c r="G40" s="32">
        <f>SUMIF(F$3:F$38,F40,G$3:G$38)</f>
        <v>0</v>
      </c>
      <c r="H40" s="32">
        <f>SUMIF(F$3:F$38,F40,H$3:H$38)</f>
        <v>0</v>
      </c>
      <c r="I40" s="55">
        <f>H40/$H$47</f>
        <v>0</v>
      </c>
    </row>
    <row r="41" spans="1:11">
      <c r="F41" s="54" t="s">
        <v>85</v>
      </c>
      <c r="G41" s="32">
        <f>SUMIF(F$3:F$38,F41,G$3:G$38)</f>
        <v>0</v>
      </c>
      <c r="H41" s="32">
        <f>SUMIF(F$3:F$38,F41,H$3:H$38)</f>
        <v>600</v>
      </c>
      <c r="I41" s="55">
        <f>H41/$H$47</f>
        <v>1</v>
      </c>
    </row>
    <row r="42" spans="1:11">
      <c r="F42" s="54" t="s">
        <v>35</v>
      </c>
      <c r="G42" s="32">
        <f>SUMIF(F$3:F$38,F42,G$3:G$38)</f>
        <v>1745</v>
      </c>
      <c r="H42" s="32">
        <f>SUMIF(F$3:F$38,F42,H$3:H$38)</f>
        <v>0</v>
      </c>
      <c r="I42" s="55">
        <f t="shared" ref="I42:I45" si="0">H42/$H$47</f>
        <v>0</v>
      </c>
    </row>
    <row r="43" spans="1:11">
      <c r="F43" s="54" t="s">
        <v>37</v>
      </c>
      <c r="G43" s="32">
        <f>SUMIF(F$3:F$38,F43,G$3:G$38)</f>
        <v>0</v>
      </c>
      <c r="H43" s="32">
        <f>SUMIF(F$3:F$38,F43,H$3:H$38)</f>
        <v>0</v>
      </c>
      <c r="I43" s="55">
        <f t="shared" si="0"/>
        <v>0</v>
      </c>
    </row>
    <row r="44" spans="1:11">
      <c r="F44" s="54" t="s">
        <v>39</v>
      </c>
      <c r="G44" s="32">
        <f>SUMIF(F$3:F$38,F44,G$3:G$38)</f>
        <v>0</v>
      </c>
      <c r="H44" s="32">
        <f>SUMIF(F$3:F$38,F44,H$3:H$38)</f>
        <v>0</v>
      </c>
      <c r="I44" s="55">
        <f t="shared" si="0"/>
        <v>0</v>
      </c>
    </row>
    <row r="45" spans="1:11">
      <c r="F45" s="54" t="s">
        <v>109</v>
      </c>
      <c r="G45" s="32">
        <f>SUMIF(F$3:F$38,F45,G$3:G$38)</f>
        <v>705</v>
      </c>
      <c r="H45" s="32">
        <f>SUMIF(F$3:F$38,F45,H$3:H$38)</f>
        <v>0</v>
      </c>
      <c r="I45" s="55">
        <f t="shared" si="0"/>
        <v>0</v>
      </c>
    </row>
    <row r="46" spans="1:11">
      <c r="F46" s="54" t="s">
        <v>167</v>
      </c>
      <c r="G46" s="32">
        <f>SUMIF(F$3:F$38,F46,G$3:G$38)</f>
        <v>0</v>
      </c>
      <c r="H46" s="32">
        <f>SUMIF(F$3:F$38,F46,H$3:H$38)</f>
        <v>240</v>
      </c>
      <c r="I46" s="55">
        <f t="shared" ref="I46" si="1">H46/$H$47</f>
        <v>0.4</v>
      </c>
    </row>
    <row r="47" spans="1:11">
      <c r="F47" s="54" t="s">
        <v>173</v>
      </c>
      <c r="G47" s="33">
        <f>SUM(G40:G45)</f>
        <v>2450</v>
      </c>
      <c r="H47" s="33">
        <f>SUM(H40:H45)</f>
        <v>600</v>
      </c>
      <c r="I47" s="56">
        <f>SUM(I40:I45)</f>
        <v>1</v>
      </c>
    </row>
    <row r="48" spans="1:11">
      <c r="F48" s="54" t="s">
        <v>174</v>
      </c>
      <c r="G48" s="63">
        <f>G47/60</f>
        <v>40.833333333333336</v>
      </c>
      <c r="H48" s="63">
        <f>H47/60</f>
        <v>10</v>
      </c>
      <c r="I48" s="56">
        <f>I47</f>
        <v>1</v>
      </c>
    </row>
    <row r="49" spans="6:9">
      <c r="F49" s="54" t="s">
        <v>175</v>
      </c>
      <c r="G49" s="33">
        <f>G48/8</f>
        <v>5.104166666666667</v>
      </c>
      <c r="H49" s="33">
        <f>H48/8</f>
        <v>1.25</v>
      </c>
      <c r="I49" s="56">
        <f>I48</f>
        <v>1</v>
      </c>
    </row>
    <row r="50" spans="6:9">
      <c r="F50" s="75" t="s">
        <v>176</v>
      </c>
      <c r="G50" s="73">
        <f>G49/22</f>
        <v>0.23200757575757577</v>
      </c>
      <c r="H50" s="74" t="s">
        <v>177</v>
      </c>
      <c r="I50" s="58" t="s">
        <v>178</v>
      </c>
    </row>
  </sheetData>
  <sheetProtection selectLockedCells="1" selectUnlockedCells="1"/>
  <autoFilter ref="A2:K34" xr:uid="{00000000-0009-0000-0000-000002000000}"/>
  <phoneticPr fontId="23"/>
  <dataValidations disablePrompts="1" count="4">
    <dataValidation allowBlank="1" showErrorMessage="1" sqref="G3:G38" xr:uid="{00000000-0002-0000-0200-000000000000}"/>
    <dataValidation type="list" allowBlank="1" showErrorMessage="1" sqref="F3:F38" xr:uid="{00000000-0002-0000-0200-000001000000}">
      <formula1>"Mixed Methods,Lecture/Theory,Assignment/Lab,Test/Quiz,Exam/Project,Guides/Review,Seminar/Workshop,Class Meeting,Prepare Int. Exam"</formula1>
    </dataValidation>
    <dataValidation type="list" allowBlank="1" showInputMessage="1" showErrorMessage="1" sqref="J3:J38" xr:uid="{00000000-0002-0000-0200-000002000000}">
      <formula1>"Online,Offline,Hybrid"</formula1>
    </dataValidation>
    <dataValidation type="list" allowBlank="1" showInputMessage="1" showErrorMessage="1" sqref="E3:E38" xr:uid="{00000000-0002-0000-0200-000003000000}">
      <formula1>"Mentor-assisted learning,Self-paced learning,Cohort-based learning,Team-shared learning"</formula1>
    </dataValidation>
  </dataValidations>
  <hyperlinks>
    <hyperlink ref="K5:K34" r:id="rId1" display="https://trailhead.salesforce.com/users/strailhead/trailmixes/prepare-for-your-salesforce-platform-app-builder-credential" xr:uid="{6D52CC5D-C1AD-41BC-BC63-5D9A3F65F96B}"/>
    <hyperlink ref="K29" r:id="rId2" xr:uid="{E57A658C-075B-4C62-A67C-E8CCC34D4DDA}"/>
    <hyperlink ref="K4" r:id="rId3" xr:uid="{9A48BCCC-92E3-4CC7-B8BD-A9269664975C}"/>
    <hyperlink ref="K35" r:id="rId4" display="https://trailhead.salesforce.com/users/strailhead/trailmixes/prepare-for-your-salesforce-platform-app-builder-credential" xr:uid="{F27FBF82-8DE8-4F8D-8149-1A61ADDADF10}"/>
    <hyperlink ref="K37" r:id="rId5" display="https://trailhead.salesforce.com/users/strailhead/trailmixes/prepare-for-your-salesforce-platform-app-builder-credential" xr:uid="{BBC6DC9F-192B-4B02-8CE8-87AD69D2B854}"/>
  </hyperlinks>
  <pageMargins left="0.44027777777777777" right="0.70833333333333337" top="0.47013888888888888" bottom="0.55000000000000004" header="0.51181102362204722" footer="0.31527777777777777"/>
  <pageSetup paperSize="9" firstPageNumber="0" fitToHeight="2" orientation="landscape" horizontalDpi="300" verticalDpi="300" r:id="rId6"/>
  <headerFooter alignWithMargins="0">
    <oddFooter>&amp;L18e-BM/DT/FSOFT v1/1&amp;CInternal use&amp;R&amp;P/&amp;N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SheetLayoutView="100" workbookViewId="0">
      <selection sqref="A1:F1"/>
    </sheetView>
  </sheetViews>
  <sheetFormatPr defaultColWidth="9.140625" defaultRowHeight="13.15"/>
  <cols>
    <col min="1" max="1" width="3.140625" style="26" customWidth="1"/>
    <col min="2" max="2" width="14.42578125" style="26" customWidth="1"/>
    <col min="3" max="3" width="23.28515625" style="26" customWidth="1"/>
    <col min="4" max="4" width="16.85546875" style="26" customWidth="1"/>
    <col min="5" max="5" width="14.85546875" style="26" customWidth="1"/>
    <col min="6" max="6" width="70.42578125" style="50" customWidth="1"/>
    <col min="7" max="16384" width="9.140625" style="26"/>
  </cols>
  <sheetData>
    <row r="1" spans="1:6" s="27" customFormat="1" ht="20.25" customHeight="1">
      <c r="A1" s="145" t="s">
        <v>179</v>
      </c>
      <c r="B1" s="145"/>
      <c r="C1" s="145"/>
      <c r="D1" s="145"/>
      <c r="E1" s="145"/>
      <c r="F1" s="145"/>
    </row>
    <row r="2" spans="1:6" ht="18" customHeight="1">
      <c r="B2" s="28" t="s">
        <v>180</v>
      </c>
      <c r="C2" s="28" t="s">
        <v>181</v>
      </c>
      <c r="D2" s="28" t="s">
        <v>182</v>
      </c>
      <c r="E2" s="28" t="s">
        <v>183</v>
      </c>
      <c r="F2" s="48" t="s">
        <v>184</v>
      </c>
    </row>
    <row r="3" spans="1:6" ht="18" customHeight="1">
      <c r="B3" s="46" t="s">
        <v>185</v>
      </c>
      <c r="C3" s="43" t="s">
        <v>186</v>
      </c>
      <c r="D3" s="43" t="s">
        <v>154</v>
      </c>
      <c r="E3" s="43" t="s">
        <v>187</v>
      </c>
      <c r="F3" s="49"/>
    </row>
    <row r="4" spans="1:6" ht="18" customHeight="1">
      <c r="B4" s="47" t="s">
        <v>188</v>
      </c>
      <c r="C4" s="43"/>
      <c r="D4" s="43"/>
      <c r="E4" s="43"/>
      <c r="F4" s="49"/>
    </row>
    <row r="5" spans="1:6" ht="18" customHeight="1">
      <c r="B5" s="47" t="s">
        <v>189</v>
      </c>
      <c r="C5" s="43"/>
      <c r="D5" s="43"/>
      <c r="E5" s="43"/>
      <c r="F5" s="49"/>
    </row>
    <row r="6" spans="1:6" s="27" customFormat="1" ht="20.25" customHeight="1">
      <c r="A6" s="145" t="s">
        <v>190</v>
      </c>
      <c r="B6" s="145"/>
      <c r="C6" s="145"/>
      <c r="D6" s="145"/>
      <c r="E6" s="145"/>
      <c r="F6" s="145"/>
    </row>
    <row r="7" spans="1:6">
      <c r="A7" s="26" t="s">
        <v>191</v>
      </c>
    </row>
    <row r="9" spans="1:6">
      <c r="B9" s="28" t="s">
        <v>73</v>
      </c>
      <c r="C9" s="28" t="s">
        <v>192</v>
      </c>
      <c r="D9" s="28" t="s">
        <v>4</v>
      </c>
      <c r="E9" s="28" t="s">
        <v>193</v>
      </c>
      <c r="F9" s="48" t="s">
        <v>194</v>
      </c>
    </row>
    <row r="10" spans="1:6" ht="20.25" customHeight="1">
      <c r="B10" s="44">
        <v>45545</v>
      </c>
      <c r="C10" s="45" t="s">
        <v>195</v>
      </c>
      <c r="D10" s="66">
        <v>1</v>
      </c>
      <c r="E10" s="45" t="s">
        <v>196</v>
      </c>
      <c r="F10" s="51" t="s">
        <v>197</v>
      </c>
    </row>
    <row r="11" spans="1:6" ht="20.25" customHeight="1">
      <c r="B11" s="45"/>
      <c r="C11" s="45"/>
      <c r="D11" s="45"/>
      <c r="E11" s="45"/>
      <c r="F11" s="51"/>
    </row>
    <row r="12" spans="1:6" ht="20.25" customHeight="1">
      <c r="B12" s="45"/>
      <c r="C12" s="45"/>
      <c r="D12" s="45"/>
      <c r="E12" s="45"/>
      <c r="F12" s="51"/>
    </row>
    <row r="13" spans="1:6" ht="20.25" customHeight="1">
      <c r="B13" s="45"/>
      <c r="C13" s="45"/>
      <c r="D13" s="45"/>
      <c r="E13" s="45"/>
      <c r="F13" s="51"/>
    </row>
    <row r="14" spans="1:6" ht="20.25" customHeight="1">
      <c r="B14" s="45"/>
      <c r="C14" s="45"/>
      <c r="D14" s="45"/>
      <c r="E14" s="45"/>
      <c r="F14" s="51"/>
    </row>
    <row r="15" spans="1:6" ht="20.25" customHeight="1">
      <c r="B15" s="45"/>
      <c r="C15" s="45"/>
      <c r="D15" s="45"/>
      <c r="E15" s="45"/>
      <c r="F15" s="51"/>
    </row>
    <row r="16" spans="1:6" ht="20.25" customHeight="1">
      <c r="B16" s="45"/>
      <c r="C16" s="45"/>
      <c r="D16" s="45"/>
      <c r="E16" s="45"/>
      <c r="F16" s="51"/>
    </row>
  </sheetData>
  <sheetProtection selectLockedCells="1" selectUnlockedCells="1"/>
  <mergeCells count="2">
    <mergeCell ref="A1:F1"/>
    <mergeCell ref="A6:F6"/>
  </mergeCells>
  <phoneticPr fontId="23"/>
  <pageMargins left="0.70000000000000007" right="0.40972222222222227" top="0.75" bottom="0.75" header="0.51181102362204722" footer="0.3"/>
  <pageSetup paperSize="9" scale="96" firstPageNumber="0" orientation="portrait" horizontalDpi="300" verticalDpi="300"/>
  <headerFooter alignWithMargins="0">
    <oddFooter>&amp;L18e-BM/DT/FSOFT v1/1&amp;CInternal use&amp;R&amp;P/&amp;N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
  <sheetViews>
    <sheetView workbookViewId="0">
      <selection activeCell="AL4" sqref="AL4"/>
    </sheetView>
  </sheetViews>
  <sheetFormatPr defaultRowHeight="13.15"/>
  <sheetData>
    <row r="1" spans="1:256">
      <c r="A1" t="e">
        <f>IF(CourseTitle_Syllabus!1:1,"AAAAAH7b/wA=",0)</f>
        <v>#VALUE!</v>
      </c>
      <c r="B1" t="e">
        <f>AND(CourseTitle_Syllabus!#REF!,"AAAAAH7b/wE=")</f>
        <v>#REF!</v>
      </c>
      <c r="C1" t="e">
        <f>AND(CourseTitle_Syllabus!B1,"AAAAAH7b/wI=")</f>
        <v>#VALUE!</v>
      </c>
      <c r="D1" t="e">
        <f>AND(CourseTitle_Syllabus!C1,"AAAAAH7b/wM=")</f>
        <v>#VALUE!</v>
      </c>
      <c r="E1" t="e">
        <f>AND(CourseTitle_Syllabus!D1,"AAAAAH7b/wQ=")</f>
        <v>#VALUE!</v>
      </c>
      <c r="F1" t="e">
        <f>AND(CourseTitle_Syllabus!E1,"AAAAAH7b/wU=")</f>
        <v>#VALUE!</v>
      </c>
      <c r="G1" t="e">
        <f>AND(CourseTitle_Syllabus!F1,"AAAAAH7b/wY=")</f>
        <v>#VALUE!</v>
      </c>
      <c r="H1" t="e">
        <f>AND(CourseTitle_Syllabus!G1,"AAAAAH7b/wc=")</f>
        <v>#VALUE!</v>
      </c>
      <c r="I1">
        <f>IF(CourseTitle_Syllabus!2:2,"AAAAAH7b/wg=",0)</f>
        <v>0</v>
      </c>
      <c r="J1" t="e">
        <f>AND(CourseTitle_Syllabus!A2,"AAAAAH7b/wk=")</f>
        <v>#VALUE!</v>
      </c>
      <c r="K1" t="e">
        <f>AND(CourseTitle_Syllabus!B2,"AAAAAH7b/wo=")</f>
        <v>#VALUE!</v>
      </c>
      <c r="L1" t="e">
        <f>AND(CourseTitle_Syllabus!C2,"AAAAAH7b/ws=")</f>
        <v>#VALUE!</v>
      </c>
      <c r="M1" t="e">
        <f>AND(CourseTitle_Syllabus!D2,"AAAAAH7b/ww=")</f>
        <v>#VALUE!</v>
      </c>
      <c r="N1" t="e">
        <f>AND(CourseTitle_Syllabus!E2,"AAAAAH7b/w0=")</f>
        <v>#VALUE!</v>
      </c>
      <c r="O1" t="e">
        <f>AND(CourseTitle_Syllabus!F2,"AAAAAH7b/w4=")</f>
        <v>#VALUE!</v>
      </c>
      <c r="P1" t="e">
        <f>AND(CourseTitle_Syllabus!G2,"AAAAAH7b/w8=")</f>
        <v>#VALUE!</v>
      </c>
      <c r="Q1">
        <f>IF(CourseTitle_Syllabus!5:5,"AAAAAH7b/xA=",0)</f>
        <v>0</v>
      </c>
      <c r="R1" t="b">
        <f>AND(CourseTitle_Syllabus!A5,"AAAAAH7b/xE=")</f>
        <v>1</v>
      </c>
      <c r="S1" t="e">
        <f>AND(CourseTitle_Syllabus!B5,"AAAAAH7b/xI=")</f>
        <v>#VALUE!</v>
      </c>
      <c r="T1" t="e">
        <f>AND(CourseTitle_Syllabus!C5,"AAAAAH7b/xM=")</f>
        <v>#VALUE!</v>
      </c>
      <c r="U1" t="e">
        <f>AND(CourseTitle_Syllabus!D5,"AAAAAH7b/xQ=")</f>
        <v>#VALUE!</v>
      </c>
      <c r="V1" t="e">
        <f>AND(CourseTitle_Syllabus!E5,"AAAAAH7b/xU=")</f>
        <v>#VALUE!</v>
      </c>
      <c r="W1" t="e">
        <f>AND(CourseTitle_Syllabus!F5,"AAAAAH7b/xY=")</f>
        <v>#VALUE!</v>
      </c>
      <c r="X1" t="e">
        <f>AND(CourseTitle_Syllabus!G5,"AAAAAH7b/xc=")</f>
        <v>#VALUE!</v>
      </c>
      <c r="Y1">
        <f>IF(CourseTitle_Syllabus!6:6,"AAAAAH7b/xg=",0)</f>
        <v>0</v>
      </c>
      <c r="Z1" t="b">
        <f>AND(CourseTitle_Syllabus!A6,"AAAAAH7b/xk=")</f>
        <v>1</v>
      </c>
      <c r="AA1" t="e">
        <f>AND(CourseTitle_Syllabus!B6,"AAAAAH7b/xo=")</f>
        <v>#VALUE!</v>
      </c>
      <c r="AB1" t="e">
        <f>AND(CourseTitle_Syllabus!C6,"AAAAAH7b/xs=")</f>
        <v>#VALUE!</v>
      </c>
      <c r="AC1" t="e">
        <f>AND(CourseTitle_Syllabus!D6,"AAAAAH7b/xw=")</f>
        <v>#VALUE!</v>
      </c>
      <c r="AD1" t="e">
        <f>AND(CourseTitle_Syllabus!E6,"AAAAAH7b/x0=")</f>
        <v>#VALUE!</v>
      </c>
      <c r="AE1" t="e">
        <f>AND(CourseTitle_Syllabus!F6,"AAAAAH7b/x4=")</f>
        <v>#VALUE!</v>
      </c>
      <c r="AF1" t="e">
        <f>AND(CourseTitle_Syllabus!G6,"AAAAAH7b/x8=")</f>
        <v>#VALUE!</v>
      </c>
      <c r="AG1">
        <f>IF(CourseTitle_Syllabus!7:7,"AAAAAH7b/yA=",0)</f>
        <v>0</v>
      </c>
      <c r="AH1" t="b">
        <f>AND(CourseTitle_Syllabus!A7,"AAAAAH7b/yE=")</f>
        <v>1</v>
      </c>
      <c r="AI1" t="e">
        <f>AND(CourseTitle_Syllabus!B7,"AAAAAH7b/yI=")</f>
        <v>#VALUE!</v>
      </c>
      <c r="AJ1" t="e">
        <f>AND(CourseTitle_Syllabus!C7,"AAAAAH7b/yM=")</f>
        <v>#VALUE!</v>
      </c>
      <c r="AK1" t="e">
        <f>AND(CourseTitle_Syllabus!D7,"AAAAAH7b/yQ=")</f>
        <v>#VALUE!</v>
      </c>
      <c r="AL1" t="e">
        <f>AND(CourseTitle_Syllabus!E7,"AAAAAH7b/yU=")</f>
        <v>#VALUE!</v>
      </c>
      <c r="AM1" t="e">
        <f>AND(CourseTitle_Syllabus!F7,"AAAAAH7b/yY=")</f>
        <v>#VALUE!</v>
      </c>
      <c r="AN1" t="e">
        <f>AND(CourseTitle_Syllabus!G7,"AAAAAH7b/yc=")</f>
        <v>#VALUE!</v>
      </c>
      <c r="AO1">
        <f>IF(CourseTitle_Syllabus!8:8,"AAAAAH7b/yg=",0)</f>
        <v>0</v>
      </c>
      <c r="AP1" t="b">
        <f>AND(CourseTitle_Syllabus!A8,"AAAAAH7b/yk=")</f>
        <v>1</v>
      </c>
      <c r="AQ1" t="e">
        <f>AND(CourseTitle_Syllabus!B8,"AAAAAH7b/yo=")</f>
        <v>#VALUE!</v>
      </c>
      <c r="AR1" t="e">
        <f>AND(CourseTitle_Syllabus!C8,"AAAAAH7b/ys=")</f>
        <v>#VALUE!</v>
      </c>
      <c r="AS1" t="e">
        <f>AND(CourseTitle_Syllabus!D8,"AAAAAH7b/yw=")</f>
        <v>#VALUE!</v>
      </c>
      <c r="AT1" t="e">
        <f>AND(CourseTitle_Syllabus!E8,"AAAAAH7b/y0=")</f>
        <v>#VALUE!</v>
      </c>
      <c r="AU1" t="e">
        <f>AND(CourseTitle_Syllabus!F8,"AAAAAH7b/y4=")</f>
        <v>#VALUE!</v>
      </c>
      <c r="AV1" t="e">
        <f>AND(CourseTitle_Syllabus!G8,"AAAAAH7b/y8=")</f>
        <v>#VALUE!</v>
      </c>
      <c r="AW1">
        <f>IF(CourseTitle_Syllabus!11:11,"AAAAAH7b/zA=",0)</f>
        <v>0</v>
      </c>
      <c r="AX1" t="b">
        <f>AND(CourseTitle_Syllabus!A11,"AAAAAH7b/zE=")</f>
        <v>1</v>
      </c>
      <c r="AY1" t="e">
        <f>AND(CourseTitle_Syllabus!B11,"AAAAAH7b/zI=")</f>
        <v>#VALUE!</v>
      </c>
      <c r="AZ1" t="e">
        <f>AND(CourseTitle_Syllabus!C11,"AAAAAH7b/zM=")</f>
        <v>#VALUE!</v>
      </c>
      <c r="BA1" t="e">
        <f>AND(CourseTitle_Syllabus!D11,"AAAAAH7b/zQ=")</f>
        <v>#VALUE!</v>
      </c>
      <c r="BB1" t="e">
        <f>AND(CourseTitle_Syllabus!E11,"AAAAAH7b/zU=")</f>
        <v>#VALUE!</v>
      </c>
      <c r="BC1" t="e">
        <f>AND(CourseTitle_Syllabus!F11,"AAAAAH7b/zY=")</f>
        <v>#VALUE!</v>
      </c>
      <c r="BD1" t="e">
        <f>AND(CourseTitle_Syllabus!G11,"AAAAAH7b/zc=")</f>
        <v>#VALUE!</v>
      </c>
      <c r="BE1" t="e">
        <f>IF(CourseTitle_Syllabus!#REF!,"AAAAAH7b/zg=",0)</f>
        <v>#REF!</v>
      </c>
      <c r="BF1" t="e">
        <f>AND(CourseTitle_Syllabus!#REF!,"AAAAAH7b/zk=")</f>
        <v>#REF!</v>
      </c>
      <c r="BG1" t="e">
        <f>AND(CourseTitle_Syllabus!#REF!,"AAAAAH7b/zo=")</f>
        <v>#REF!</v>
      </c>
      <c r="BH1" t="e">
        <f>AND(CourseTitle_Syllabus!#REF!,"AAAAAH7b/zs=")</f>
        <v>#REF!</v>
      </c>
      <c r="BI1" t="e">
        <f>AND(CourseTitle_Syllabus!#REF!,"AAAAAH7b/zw=")</f>
        <v>#REF!</v>
      </c>
      <c r="BJ1" t="e">
        <f>AND(CourseTitle_Syllabus!#REF!,"AAAAAH7b/z0=")</f>
        <v>#REF!</v>
      </c>
      <c r="BK1" t="e">
        <f>AND(CourseTitle_Syllabus!#REF!,"AAAAAH7b/z4=")</f>
        <v>#REF!</v>
      </c>
      <c r="BL1" t="e">
        <f>AND(CourseTitle_Syllabus!#REF!,"AAAAAH7b/z8=")</f>
        <v>#REF!</v>
      </c>
      <c r="BM1" t="e">
        <f>IF(CourseTitle_Syllabus!#REF!,"AAAAAH7b/0A=",0)</f>
        <v>#REF!</v>
      </c>
      <c r="BN1" t="e">
        <f>AND(CourseTitle_Syllabus!#REF!,"AAAAAH7b/0E=")</f>
        <v>#REF!</v>
      </c>
      <c r="BO1" t="e">
        <f>AND(CourseTitle_Syllabus!#REF!,"AAAAAH7b/0I=")</f>
        <v>#REF!</v>
      </c>
      <c r="BP1" t="e">
        <f>AND(CourseTitle_Syllabus!#REF!,"AAAAAH7b/0M=")</f>
        <v>#REF!</v>
      </c>
      <c r="BQ1" t="e">
        <f>AND(CourseTitle_Syllabus!#REF!,"AAAAAH7b/0Q=")</f>
        <v>#REF!</v>
      </c>
      <c r="BR1" t="e">
        <f>AND(CourseTitle_Syllabus!#REF!,"AAAAAH7b/0U=")</f>
        <v>#REF!</v>
      </c>
      <c r="BS1" t="e">
        <f>AND(CourseTitle_Syllabus!#REF!,"AAAAAH7b/0Y=")</f>
        <v>#REF!</v>
      </c>
      <c r="BT1" t="e">
        <f>AND(CourseTitle_Syllabus!#REF!,"AAAAAH7b/0c=")</f>
        <v>#REF!</v>
      </c>
      <c r="BU1" t="e">
        <f>IF(CourseTitle_Syllabus!#REF!,"AAAAAH7b/0g=",0)</f>
        <v>#REF!</v>
      </c>
      <c r="BV1" t="e">
        <f>AND(CourseTitle_Syllabus!#REF!,"AAAAAH7b/0k=")</f>
        <v>#REF!</v>
      </c>
      <c r="BW1" t="e">
        <f>AND(CourseTitle_Syllabus!#REF!,"AAAAAH7b/0o=")</f>
        <v>#REF!</v>
      </c>
      <c r="BX1" t="e">
        <f>AND(CourseTitle_Syllabus!#REF!,"AAAAAH7b/0s=")</f>
        <v>#REF!</v>
      </c>
      <c r="BY1" t="e">
        <f>AND(CourseTitle_Syllabus!#REF!,"AAAAAH7b/0w=")</f>
        <v>#REF!</v>
      </c>
      <c r="BZ1" t="e">
        <f>AND(CourseTitle_Syllabus!#REF!,"AAAAAH7b/00=")</f>
        <v>#REF!</v>
      </c>
      <c r="CA1" t="e">
        <f>AND(CourseTitle_Syllabus!#REF!,"AAAAAH7b/04=")</f>
        <v>#REF!</v>
      </c>
      <c r="CB1" t="e">
        <f>AND(CourseTitle_Syllabus!#REF!,"AAAAAH7b/08=")</f>
        <v>#REF!</v>
      </c>
      <c r="CC1" t="e">
        <f>IF(CourseTitle_Syllabus!#REF!,"AAAAAH7b/1A=",0)</f>
        <v>#REF!</v>
      </c>
      <c r="CD1" t="e">
        <f>AND(CourseTitle_Syllabus!#REF!,"AAAAAH7b/1E=")</f>
        <v>#REF!</v>
      </c>
      <c r="CE1" t="e">
        <f>AND(CourseTitle_Syllabus!#REF!,"AAAAAH7b/1I=")</f>
        <v>#REF!</v>
      </c>
      <c r="CF1" t="e">
        <f>AND(CourseTitle_Syllabus!#REF!,"AAAAAH7b/1M=")</f>
        <v>#REF!</v>
      </c>
      <c r="CG1" t="e">
        <f>AND(CourseTitle_Syllabus!#REF!,"AAAAAH7b/1Q=")</f>
        <v>#REF!</v>
      </c>
      <c r="CH1" t="e">
        <f>AND(CourseTitle_Syllabus!#REF!,"AAAAAH7b/1U=")</f>
        <v>#REF!</v>
      </c>
      <c r="CI1" t="e">
        <f>AND(CourseTitle_Syllabus!#REF!,"AAAAAH7b/1Y=")</f>
        <v>#REF!</v>
      </c>
      <c r="CJ1" t="e">
        <f>AND(CourseTitle_Syllabus!#REF!,"AAAAAH7b/1c=")</f>
        <v>#REF!</v>
      </c>
      <c r="CK1">
        <f>IF(CourseTitle_Syllabus!12:12,"AAAAAH7b/1g=",0)</f>
        <v>0</v>
      </c>
      <c r="CL1" t="b">
        <f>AND(CourseTitle_Syllabus!A12,"AAAAAH7b/1k=")</f>
        <v>1</v>
      </c>
      <c r="CM1" t="e">
        <f>AND(CourseTitle_Syllabus!B12,"AAAAAH7b/1o=")</f>
        <v>#VALUE!</v>
      </c>
      <c r="CN1" t="e">
        <f>AND(CourseTitle_Syllabus!C12,"AAAAAH7b/1s=")</f>
        <v>#VALUE!</v>
      </c>
      <c r="CO1" t="e">
        <f>AND(CourseTitle_Syllabus!D12,"AAAAAH7b/1w=")</f>
        <v>#VALUE!</v>
      </c>
      <c r="CP1" t="e">
        <f>AND(CourseTitle_Syllabus!E12,"AAAAAH7b/10=")</f>
        <v>#VALUE!</v>
      </c>
      <c r="CQ1" t="e">
        <f>AND(CourseTitle_Syllabus!F12,"AAAAAH7b/14=")</f>
        <v>#VALUE!</v>
      </c>
      <c r="CR1" t="e">
        <f>AND(CourseTitle_Syllabus!G12,"AAAAAH7b/18=")</f>
        <v>#VALUE!</v>
      </c>
      <c r="CS1">
        <f>IF(CourseTitle_Syllabus!14:14,"AAAAAH7b/2A=",0)</f>
        <v>0</v>
      </c>
      <c r="CT1" t="b">
        <f>AND(CourseTitle_Syllabus!A14,"AAAAAH7b/2E=")</f>
        <v>1</v>
      </c>
      <c r="CU1" t="e">
        <f>AND(CourseTitle_Syllabus!B14,"AAAAAH7b/2I=")</f>
        <v>#VALUE!</v>
      </c>
      <c r="CV1" t="e">
        <f>AND(CourseTitle_Syllabus!C14,"AAAAAH7b/2M=")</f>
        <v>#VALUE!</v>
      </c>
      <c r="CW1" t="b">
        <f>AND(CourseTitle_Syllabus!D14,"AAAAAH7b/2Q=")</f>
        <v>0</v>
      </c>
      <c r="CX1" t="e">
        <f>AND(CourseTitle_Syllabus!E14,"AAAAAH7b/2U=")</f>
        <v>#VALUE!</v>
      </c>
      <c r="CY1" t="e">
        <f>AND(CourseTitle_Syllabus!F14,"AAAAAH7b/2Y=")</f>
        <v>#VALUE!</v>
      </c>
      <c r="CZ1" t="e">
        <f>AND(CourseTitle_Syllabus!G14,"AAAAAH7b/2c=")</f>
        <v>#VALUE!</v>
      </c>
      <c r="DA1">
        <f>IF(CourseTitle_Syllabus!15:15,"AAAAAH7b/2g=",0)</f>
        <v>0</v>
      </c>
      <c r="DB1" t="e">
        <f>AND(CourseTitle_Syllabus!A15,"AAAAAH7b/2k=")</f>
        <v>#VALUE!</v>
      </c>
      <c r="DC1" t="e">
        <f>AND(CourseTitle_Syllabus!B15,"AAAAAH7b/2o=")</f>
        <v>#VALUE!</v>
      </c>
      <c r="DD1" t="e">
        <f>AND(CourseTitle_Syllabus!C15,"AAAAAH7b/2s=")</f>
        <v>#VALUE!</v>
      </c>
      <c r="DE1" t="b">
        <f>AND(CourseTitle_Syllabus!D15,"AAAAAH7b/2w=")</f>
        <v>0</v>
      </c>
      <c r="DF1" t="e">
        <f>AND(CourseTitle_Syllabus!E15,"AAAAAH7b/20=")</f>
        <v>#VALUE!</v>
      </c>
      <c r="DG1" t="e">
        <f>AND(CourseTitle_Syllabus!F15,"AAAAAH7b/24=")</f>
        <v>#VALUE!</v>
      </c>
      <c r="DH1" t="e">
        <f>AND(CourseTitle_Syllabus!G15,"AAAAAH7b/28=")</f>
        <v>#VALUE!</v>
      </c>
      <c r="DI1">
        <f>IF(CourseTitle_Syllabus!16:16,"AAAAAH7b/3A=",0)</f>
        <v>0</v>
      </c>
      <c r="DJ1" t="e">
        <f>AND(CourseTitle_Syllabus!A16,"AAAAAH7b/3E=")</f>
        <v>#VALUE!</v>
      </c>
      <c r="DK1" t="e">
        <f>AND(CourseTitle_Syllabus!B16,"AAAAAH7b/3I=")</f>
        <v>#VALUE!</v>
      </c>
      <c r="DL1" t="e">
        <f>AND(CourseTitle_Syllabus!C16,"AAAAAH7b/3M=")</f>
        <v>#VALUE!</v>
      </c>
      <c r="DM1" t="b">
        <f>AND(CourseTitle_Syllabus!D16,"AAAAAH7b/3Q=")</f>
        <v>0</v>
      </c>
      <c r="DN1" t="e">
        <f>AND(CourseTitle_Syllabus!E16,"AAAAAH7b/3U=")</f>
        <v>#VALUE!</v>
      </c>
      <c r="DO1" t="e">
        <f>AND(CourseTitle_Syllabus!F16,"AAAAAH7b/3Y=")</f>
        <v>#VALUE!</v>
      </c>
      <c r="DP1" t="e">
        <f>AND(CourseTitle_Syllabus!G16,"AAAAAH7b/3c=")</f>
        <v>#VALUE!</v>
      </c>
      <c r="DQ1">
        <f>IF(CourseTitle_Syllabus!17:17,"AAAAAH7b/3g=",0)</f>
        <v>0</v>
      </c>
      <c r="DR1" t="e">
        <f>AND(CourseTitle_Syllabus!A17,"AAAAAH7b/3k=")</f>
        <v>#VALUE!</v>
      </c>
      <c r="DS1" t="e">
        <f>AND(CourseTitle_Syllabus!B17,"AAAAAH7b/3o=")</f>
        <v>#VALUE!</v>
      </c>
      <c r="DT1" t="e">
        <f>AND(CourseTitle_Syllabus!C17,"AAAAAH7b/3s=")</f>
        <v>#VALUE!</v>
      </c>
      <c r="DU1" t="b">
        <f>AND(CourseTitle_Syllabus!D17,"AAAAAH7b/3w=")</f>
        <v>0</v>
      </c>
      <c r="DV1" t="e">
        <f>AND(CourseTitle_Syllabus!E17,"AAAAAH7b/30=")</f>
        <v>#VALUE!</v>
      </c>
      <c r="DW1" t="e">
        <f>AND(CourseTitle_Syllabus!F17,"AAAAAH7b/34=")</f>
        <v>#VALUE!</v>
      </c>
      <c r="DX1" t="e">
        <f>AND(CourseTitle_Syllabus!G17,"AAAAAH7b/38=")</f>
        <v>#VALUE!</v>
      </c>
      <c r="DY1">
        <f>IF(CourseTitle_Syllabus!18:18,"AAAAAH7b/4A=",0)</f>
        <v>0</v>
      </c>
      <c r="DZ1" t="e">
        <f>AND(CourseTitle_Syllabus!A18,"AAAAAH7b/4E=")</f>
        <v>#VALUE!</v>
      </c>
      <c r="EA1" t="e">
        <f>AND(CourseTitle_Syllabus!B18,"AAAAAH7b/4I=")</f>
        <v>#VALUE!</v>
      </c>
      <c r="EB1" t="e">
        <f>AND(CourseTitle_Syllabus!C18,"AAAAAH7b/4M=")</f>
        <v>#VALUE!</v>
      </c>
      <c r="EC1" t="b">
        <f>AND(CourseTitle_Syllabus!D18,"AAAAAH7b/4Q=")</f>
        <v>0</v>
      </c>
      <c r="ED1" t="e">
        <f>AND(CourseTitle_Syllabus!E18,"AAAAAH7b/4U=")</f>
        <v>#VALUE!</v>
      </c>
      <c r="EE1" t="e">
        <f>AND(CourseTitle_Syllabus!F18,"AAAAAH7b/4Y=")</f>
        <v>#VALUE!</v>
      </c>
      <c r="EF1" t="e">
        <f>AND(CourseTitle_Syllabus!G18,"AAAAAH7b/4c=")</f>
        <v>#VALUE!</v>
      </c>
      <c r="EG1" t="e">
        <f>IF(CourseTitle_Syllabus!#REF!,"AAAAAH7b/4g=",0)</f>
        <v>#REF!</v>
      </c>
      <c r="EH1" t="e">
        <f>AND(CourseTitle_Syllabus!#REF!,"AAAAAH7b/4k=")</f>
        <v>#REF!</v>
      </c>
      <c r="EI1" t="e">
        <f>AND(CourseTitle_Syllabus!#REF!,"AAAAAH7b/4o=")</f>
        <v>#REF!</v>
      </c>
      <c r="EJ1" t="e">
        <f>AND(CourseTitle_Syllabus!#REF!,"AAAAAH7b/4s=")</f>
        <v>#REF!</v>
      </c>
      <c r="EK1" t="e">
        <f>AND(CourseTitle_Syllabus!#REF!,"AAAAAH7b/4w=")</f>
        <v>#REF!</v>
      </c>
      <c r="EL1" t="e">
        <f>AND(CourseTitle_Syllabus!#REF!,"AAAAAH7b/40=")</f>
        <v>#REF!</v>
      </c>
      <c r="EM1" t="e">
        <f>AND(CourseTitle_Syllabus!#REF!,"AAAAAH7b/44=")</f>
        <v>#REF!</v>
      </c>
      <c r="EN1" t="e">
        <f>AND(CourseTitle_Syllabus!#REF!,"AAAAAH7b/48=")</f>
        <v>#REF!</v>
      </c>
      <c r="EO1" t="e">
        <f>IF(CourseTitle_Syllabus!#REF!,"AAAAAH7b/5A=",0)</f>
        <v>#REF!</v>
      </c>
      <c r="EP1" t="e">
        <f>AND(CourseTitle_Syllabus!#REF!,"AAAAAH7b/5E=")</f>
        <v>#REF!</v>
      </c>
      <c r="EQ1" t="e">
        <f>AND(CourseTitle_Syllabus!#REF!,"AAAAAH7b/5I=")</f>
        <v>#REF!</v>
      </c>
      <c r="ER1" t="e">
        <f>AND(CourseTitle_Syllabus!#REF!,"AAAAAH7b/5M=")</f>
        <v>#REF!</v>
      </c>
      <c r="ES1" t="e">
        <f>AND(CourseTitle_Syllabus!#REF!,"AAAAAH7b/5Q=")</f>
        <v>#REF!</v>
      </c>
      <c r="ET1" t="e">
        <f>AND(CourseTitle_Syllabus!#REF!,"AAAAAH7b/5U=")</f>
        <v>#REF!</v>
      </c>
      <c r="EU1" t="e">
        <f>AND(CourseTitle_Syllabus!#REF!,"AAAAAH7b/5Y=")</f>
        <v>#REF!</v>
      </c>
      <c r="EV1" t="e">
        <f>AND(CourseTitle_Syllabus!#REF!,"AAAAAH7b/5c=")</f>
        <v>#REF!</v>
      </c>
      <c r="EW1">
        <f>IF(CourseTitle_Syllabus!19:19,"AAAAAH7b/5g=",0)</f>
        <v>0</v>
      </c>
      <c r="EX1" t="b">
        <f>AND(CourseTitle_Syllabus!A19,"AAAAAH7b/5k=")</f>
        <v>1</v>
      </c>
      <c r="EY1" t="e">
        <f>AND(CourseTitle_Syllabus!B19,"AAAAAH7b/5o=")</f>
        <v>#VALUE!</v>
      </c>
      <c r="EZ1" t="e">
        <f>AND(CourseTitle_Syllabus!C19,"AAAAAH7b/5s=")</f>
        <v>#VALUE!</v>
      </c>
      <c r="FA1" t="e">
        <f>AND(CourseTitle_Syllabus!D19,"AAAAAH7b/5w=")</f>
        <v>#VALUE!</v>
      </c>
      <c r="FB1" t="e">
        <f>AND(CourseTitle_Syllabus!E19,"AAAAAH7b/50=")</f>
        <v>#VALUE!</v>
      </c>
      <c r="FC1" t="e">
        <f>AND(CourseTitle_Syllabus!F19,"AAAAAH7b/54=")</f>
        <v>#VALUE!</v>
      </c>
      <c r="FD1" t="e">
        <f>AND(CourseTitle_Syllabus!G19,"AAAAAH7b/58=")</f>
        <v>#VALUE!</v>
      </c>
      <c r="FE1" t="e">
        <f>IF(CourseTitle_Syllabus!#REF!,"AAAAAH7b/6A=",0)</f>
        <v>#REF!</v>
      </c>
      <c r="FF1" t="e">
        <f>AND(CourseTitle_Syllabus!#REF!,"AAAAAH7b/6E=")</f>
        <v>#REF!</v>
      </c>
      <c r="FG1" t="e">
        <f>AND(CourseTitle_Syllabus!#REF!,"AAAAAH7b/6I=")</f>
        <v>#REF!</v>
      </c>
      <c r="FH1" t="e">
        <f>AND(CourseTitle_Syllabus!#REF!,"AAAAAH7b/6M=")</f>
        <v>#REF!</v>
      </c>
      <c r="FI1" t="e">
        <f>AND(CourseTitle_Syllabus!#REF!,"AAAAAH7b/6Q=")</f>
        <v>#REF!</v>
      </c>
      <c r="FJ1" t="e">
        <f>AND(CourseTitle_Syllabus!#REF!,"AAAAAH7b/6U=")</f>
        <v>#REF!</v>
      </c>
      <c r="FK1" t="e">
        <f>AND(CourseTitle_Syllabus!#REF!,"AAAAAH7b/6Y=")</f>
        <v>#REF!</v>
      </c>
      <c r="FL1" t="e">
        <f>AND(CourseTitle_Syllabus!#REF!,"AAAAAH7b/6c=")</f>
        <v>#REF!</v>
      </c>
      <c r="FM1" t="e">
        <f>IF(CourseTitle_Syllabus!#REF!,"AAAAAH7b/6g=",0)</f>
        <v>#REF!</v>
      </c>
      <c r="FN1" t="e">
        <f>AND(CourseTitle_Syllabus!#REF!,"AAAAAH7b/6k=")</f>
        <v>#REF!</v>
      </c>
      <c r="FO1" t="e">
        <f>AND(CourseTitle_Syllabus!#REF!,"AAAAAH7b/6o=")</f>
        <v>#REF!</v>
      </c>
      <c r="FP1" t="e">
        <f>AND(CourseTitle_Syllabus!#REF!,"AAAAAH7b/6s=")</f>
        <v>#REF!</v>
      </c>
      <c r="FQ1" t="e">
        <f>AND(CourseTitle_Syllabus!#REF!,"AAAAAH7b/6w=")</f>
        <v>#REF!</v>
      </c>
      <c r="FR1" t="e">
        <f>AND(CourseTitle_Syllabus!#REF!,"AAAAAH7b/60=")</f>
        <v>#REF!</v>
      </c>
      <c r="FS1" t="e">
        <f>AND(CourseTitle_Syllabus!#REF!,"AAAAAH7b/64=")</f>
        <v>#REF!</v>
      </c>
      <c r="FT1" t="e">
        <f>AND(CourseTitle_Syllabus!#REF!,"AAAAAH7b/68=")</f>
        <v>#REF!</v>
      </c>
      <c r="FU1">
        <f>IF(CourseTitle_Syllabus!21:21,"AAAAAH7b/7A=",0)</f>
        <v>0</v>
      </c>
      <c r="FV1" t="e">
        <f>AND(CourseTitle_Syllabus!A21,"AAAAAH7b/7E=")</f>
        <v>#VALUE!</v>
      </c>
      <c r="FW1" t="e">
        <f>AND(CourseTitle_Syllabus!B21,"AAAAAH7b/7I=")</f>
        <v>#VALUE!</v>
      </c>
      <c r="FX1" t="e">
        <f>AND(CourseTitle_Syllabus!C21,"AAAAAH7b/7M=")</f>
        <v>#VALUE!</v>
      </c>
      <c r="FY1" t="e">
        <f>AND(CourseTitle_Syllabus!D21,"AAAAAH7b/7Q=")</f>
        <v>#VALUE!</v>
      </c>
      <c r="FZ1" t="e">
        <f>AND(CourseTitle_Syllabus!E21,"AAAAAH7b/7U=")</f>
        <v>#VALUE!</v>
      </c>
      <c r="GA1" t="e">
        <f>AND(CourseTitle_Syllabus!F21,"AAAAAH7b/7Y=")</f>
        <v>#VALUE!</v>
      </c>
      <c r="GB1" t="e">
        <f>AND(CourseTitle_Syllabus!G21,"AAAAAH7b/7c=")</f>
        <v>#VALUE!</v>
      </c>
      <c r="GC1">
        <f>IF(CourseTitle_Syllabus!22:22,"AAAAAH7b/7g=",0)</f>
        <v>0</v>
      </c>
      <c r="GD1" t="b">
        <f>AND(CourseTitle_Syllabus!A22,"AAAAAH7b/7k=")</f>
        <v>1</v>
      </c>
      <c r="GE1" t="e">
        <f>AND(CourseTitle_Syllabus!B22,"AAAAAH7b/7o=")</f>
        <v>#VALUE!</v>
      </c>
      <c r="GF1" t="e">
        <f>AND(CourseTitle_Syllabus!C22,"AAAAAH7b/7s=")</f>
        <v>#VALUE!</v>
      </c>
      <c r="GG1" t="e">
        <f>AND(CourseTitle_Syllabus!D22,"AAAAAH7b/7w=")</f>
        <v>#VALUE!</v>
      </c>
      <c r="GH1" t="e">
        <f>AND(CourseTitle_Syllabus!E22,"AAAAAH7b/70=")</f>
        <v>#VALUE!</v>
      </c>
      <c r="GI1" t="e">
        <f>AND(CourseTitle_Syllabus!F22,"AAAAAH7b/74=")</f>
        <v>#VALUE!</v>
      </c>
      <c r="GJ1" t="e">
        <f>AND(CourseTitle_Syllabus!G22,"AAAAAH7b/78=")</f>
        <v>#VALUE!</v>
      </c>
      <c r="GK1">
        <f>IF(CourseTitle_Syllabus!23:23,"AAAAAH7b/8A=",0)</f>
        <v>0</v>
      </c>
      <c r="GL1" t="e">
        <f>AND(CourseTitle_Syllabus!A23,"AAAAAH7b/8E=")</f>
        <v>#VALUE!</v>
      </c>
      <c r="GM1" t="e">
        <f>AND(CourseTitle_Syllabus!B23,"AAAAAH7b/8I=")</f>
        <v>#VALUE!</v>
      </c>
      <c r="GN1" t="e">
        <f>AND(CourseTitle_Syllabus!C23,"AAAAAH7b/8M=")</f>
        <v>#VALUE!</v>
      </c>
      <c r="GO1" t="e">
        <f>AND(CourseTitle_Syllabus!D23,"AAAAAH7b/8Q=")</f>
        <v>#VALUE!</v>
      </c>
      <c r="GP1" t="e">
        <f>AND(CourseTitle_Syllabus!E23,"AAAAAH7b/8U=")</f>
        <v>#VALUE!</v>
      </c>
      <c r="GQ1" t="e">
        <f>AND(CourseTitle_Syllabus!F23,"AAAAAH7b/8Y=")</f>
        <v>#VALUE!</v>
      </c>
      <c r="GR1" t="e">
        <f>AND(CourseTitle_Syllabus!G23,"AAAAAH7b/8c=")</f>
        <v>#VALUE!</v>
      </c>
      <c r="GS1" t="e">
        <f>IF(CourseTitle_Syllabus!#REF!,"AAAAAH7b/8g=",0)</f>
        <v>#REF!</v>
      </c>
      <c r="GT1" t="e">
        <f>AND(CourseTitle_Syllabus!#REF!,"AAAAAH7b/8k=")</f>
        <v>#REF!</v>
      </c>
      <c r="GU1" t="e">
        <f>AND(CourseTitle_Syllabus!#REF!,"AAAAAH7b/8o=")</f>
        <v>#REF!</v>
      </c>
      <c r="GV1" t="e">
        <f>AND(CourseTitle_Syllabus!#REF!,"AAAAAH7b/8s=")</f>
        <v>#REF!</v>
      </c>
      <c r="GW1" t="e">
        <f>AND(CourseTitle_Syllabus!#REF!,"AAAAAH7b/8w=")</f>
        <v>#REF!</v>
      </c>
      <c r="GX1" t="e">
        <f>AND(CourseTitle_Syllabus!#REF!,"AAAAAH7b/80=")</f>
        <v>#REF!</v>
      </c>
      <c r="GY1" t="e">
        <f>AND(CourseTitle_Syllabus!#REF!,"AAAAAH7b/84=")</f>
        <v>#REF!</v>
      </c>
      <c r="GZ1" t="e">
        <f>AND(CourseTitle_Syllabus!#REF!,"AAAAAH7b/88=")</f>
        <v>#REF!</v>
      </c>
      <c r="HA1">
        <f>IF(CourseTitle_Syllabus!24:24,"AAAAAH7b/9A=",0)</f>
        <v>0</v>
      </c>
      <c r="HB1" t="e">
        <f>AND(CourseTitle_Syllabus!A24,"AAAAAH7b/9E=")</f>
        <v>#VALUE!</v>
      </c>
      <c r="HC1" t="e">
        <f>AND(CourseTitle_Syllabus!B24,"AAAAAH7b/9I=")</f>
        <v>#VALUE!</v>
      </c>
      <c r="HD1" t="e">
        <f>AND(CourseTitle_Syllabus!C24,"AAAAAH7b/9M=")</f>
        <v>#VALUE!</v>
      </c>
      <c r="HE1" t="e">
        <f>AND(CourseTitle_Syllabus!D24,"AAAAAH7b/9Q=")</f>
        <v>#VALUE!</v>
      </c>
      <c r="HF1" t="e">
        <f>AND(CourseTitle_Syllabus!E24,"AAAAAH7b/9U=")</f>
        <v>#VALUE!</v>
      </c>
      <c r="HG1" t="e">
        <f>AND(CourseTitle_Syllabus!F24,"AAAAAH7b/9Y=")</f>
        <v>#VALUE!</v>
      </c>
      <c r="HH1" t="e">
        <f>AND(CourseTitle_Syllabus!G24,"AAAAAH7b/9c=")</f>
        <v>#VALUE!</v>
      </c>
      <c r="HI1">
        <f>IF(CourseTitle_Syllabus!25:25,"AAAAAH7b/9g=",0)</f>
        <v>0</v>
      </c>
      <c r="HJ1" t="b">
        <f>AND(CourseTitle_Syllabus!A25,"AAAAAH7b/9k=")</f>
        <v>1</v>
      </c>
      <c r="HK1" t="e">
        <f>AND(CourseTitle_Syllabus!B25,"AAAAAH7b/9o=")</f>
        <v>#VALUE!</v>
      </c>
      <c r="HL1" t="e">
        <f>AND(CourseTitle_Syllabus!C25,"AAAAAH7b/9s=")</f>
        <v>#VALUE!</v>
      </c>
      <c r="HM1" t="e">
        <f>AND(CourseTitle_Syllabus!D25,"AAAAAH7b/9w=")</f>
        <v>#VALUE!</v>
      </c>
      <c r="HN1" t="e">
        <f>AND(CourseTitle_Syllabus!E25,"AAAAAH7b/90=")</f>
        <v>#VALUE!</v>
      </c>
      <c r="HO1" t="e">
        <f>AND(CourseTitle_Syllabus!F25,"AAAAAH7b/94=")</f>
        <v>#VALUE!</v>
      </c>
      <c r="HP1" t="e">
        <f>AND(CourseTitle_Syllabus!G25,"AAAAAH7b/98=")</f>
        <v>#VALUE!</v>
      </c>
      <c r="HQ1">
        <f>IF(CourseTitle_Syllabus!26:26,"AAAAAH7b/+A=",0)</f>
        <v>0</v>
      </c>
      <c r="HR1" t="e">
        <f>AND(CourseTitle_Syllabus!A26,"AAAAAH7b/+E=")</f>
        <v>#VALUE!</v>
      </c>
      <c r="HS1" t="e">
        <f>AND(CourseTitle_Syllabus!B26,"AAAAAH7b/+I=")</f>
        <v>#VALUE!</v>
      </c>
      <c r="HT1" t="e">
        <f>AND(CourseTitle_Syllabus!C26,"AAAAAH7b/+M=")</f>
        <v>#VALUE!</v>
      </c>
      <c r="HU1" t="e">
        <f>AND(CourseTitle_Syllabus!D26,"AAAAAH7b/+Q=")</f>
        <v>#VALUE!</v>
      </c>
      <c r="HV1" t="e">
        <f>AND(CourseTitle_Syllabus!E26,"AAAAAH7b/+U=")</f>
        <v>#VALUE!</v>
      </c>
      <c r="HW1" t="e">
        <f>AND(CourseTitle_Syllabus!F26,"AAAAAH7b/+Y=")</f>
        <v>#VALUE!</v>
      </c>
      <c r="HX1" t="e">
        <f>AND(CourseTitle_Syllabus!G26,"AAAAAH7b/+c=")</f>
        <v>#VALUE!</v>
      </c>
      <c r="HY1">
        <f>IF(CourseTitle_Syllabus!27:27,"AAAAAH7b/+g=",0)</f>
        <v>0</v>
      </c>
      <c r="HZ1" t="e">
        <f>AND(CourseTitle_Syllabus!A27,"AAAAAH7b/+k=")</f>
        <v>#VALUE!</v>
      </c>
      <c r="IA1" t="e">
        <f>AND(CourseTitle_Syllabus!B27,"AAAAAH7b/+o=")</f>
        <v>#VALUE!</v>
      </c>
      <c r="IB1" t="e">
        <f>AND(CourseTitle_Syllabus!C27,"AAAAAH7b/+s=")</f>
        <v>#VALUE!</v>
      </c>
      <c r="IC1" t="e">
        <f>AND(CourseTitle_Syllabus!D27,"AAAAAH7b/+w=")</f>
        <v>#VALUE!</v>
      </c>
      <c r="ID1" t="e">
        <f>AND(CourseTitle_Syllabus!E27,"AAAAAH7b/+0=")</f>
        <v>#VALUE!</v>
      </c>
      <c r="IE1" t="e">
        <f>AND(CourseTitle_Syllabus!F27,"AAAAAH7b/+4=")</f>
        <v>#VALUE!</v>
      </c>
      <c r="IF1" t="e">
        <f>AND(CourseTitle_Syllabus!G27,"AAAAAH7b/+8=")</f>
        <v>#VALUE!</v>
      </c>
      <c r="IG1">
        <f>IF(CourseTitle_Syllabus!28:28,"AAAAAH7b//A=",0)</f>
        <v>0</v>
      </c>
      <c r="IH1" t="e">
        <f>AND(CourseTitle_Syllabus!A28,"AAAAAH7b//E=")</f>
        <v>#VALUE!</v>
      </c>
      <c r="II1" t="e">
        <f>AND(CourseTitle_Syllabus!B28,"AAAAAH7b//I=")</f>
        <v>#VALUE!</v>
      </c>
      <c r="IJ1" t="e">
        <f>AND(CourseTitle_Syllabus!C28,"AAAAAH7b//M=")</f>
        <v>#VALUE!</v>
      </c>
      <c r="IK1" t="e">
        <f>AND(CourseTitle_Syllabus!D28,"AAAAAH7b//Q=")</f>
        <v>#VALUE!</v>
      </c>
      <c r="IL1" t="e">
        <f>AND(CourseTitle_Syllabus!E28,"AAAAAH7b//U=")</f>
        <v>#VALUE!</v>
      </c>
      <c r="IM1" t="e">
        <f>AND(CourseTitle_Syllabus!F28,"AAAAAH7b//Y=")</f>
        <v>#VALUE!</v>
      </c>
      <c r="IN1" t="e">
        <f>AND(CourseTitle_Syllabus!G28,"AAAAAH7b//c=")</f>
        <v>#VALUE!</v>
      </c>
      <c r="IO1">
        <f>IF(CourseTitle_Syllabus!29:29,"AAAAAH7b//g=",0)</f>
        <v>0</v>
      </c>
      <c r="IP1" t="e">
        <f>AND(CourseTitle_Syllabus!A29,"AAAAAH7b//k=")</f>
        <v>#VALUE!</v>
      </c>
      <c r="IQ1" t="e">
        <f>AND(CourseTitle_Syllabus!B29,"AAAAAH7b//o=")</f>
        <v>#VALUE!</v>
      </c>
      <c r="IR1" t="e">
        <f>AND(CourseTitle_Syllabus!C29,"AAAAAH7b//s=")</f>
        <v>#VALUE!</v>
      </c>
      <c r="IS1" t="e">
        <f>AND(CourseTitle_Syllabus!D29,"AAAAAH7b//w=")</f>
        <v>#VALUE!</v>
      </c>
      <c r="IT1" t="e">
        <f>AND(CourseTitle_Syllabus!E29,"AAAAAH7b//0=")</f>
        <v>#VALUE!</v>
      </c>
      <c r="IU1" t="e">
        <f>AND(CourseTitle_Syllabus!F29,"AAAAAH7b//4=")</f>
        <v>#VALUE!</v>
      </c>
      <c r="IV1" t="e">
        <f>AND(CourseTitle_Syllabus!G29,"AAAAAH7b//8=")</f>
        <v>#VALUE!</v>
      </c>
    </row>
    <row r="2" spans="1:256">
      <c r="A2">
        <f>IF(CourseTitle_Syllabus!30:30,"AAAAAH/vfwA=",0)</f>
        <v>0</v>
      </c>
      <c r="B2" t="e">
        <f>AND(CourseTitle_Syllabus!A30,"AAAAAH/vfwE=")</f>
        <v>#VALUE!</v>
      </c>
      <c r="C2" t="e">
        <f>AND(CourseTitle_Syllabus!B30,"AAAAAH/vfwI=")</f>
        <v>#VALUE!</v>
      </c>
      <c r="D2" t="e">
        <f>AND(CourseTitle_Syllabus!C30,"AAAAAH/vfwM=")</f>
        <v>#VALUE!</v>
      </c>
      <c r="E2" t="e">
        <f>AND(CourseTitle_Syllabus!D30,"AAAAAH/vfwQ=")</f>
        <v>#VALUE!</v>
      </c>
      <c r="F2" t="e">
        <f>AND(CourseTitle_Syllabus!E30,"AAAAAH/vfwU=")</f>
        <v>#VALUE!</v>
      </c>
      <c r="G2" t="e">
        <f>AND(CourseTitle_Syllabus!F30,"AAAAAH/vfwY=")</f>
        <v>#VALUE!</v>
      </c>
      <c r="H2" t="e">
        <f>AND(CourseTitle_Syllabus!G30,"AAAAAH/vfwc=")</f>
        <v>#VALUE!</v>
      </c>
      <c r="I2">
        <f>IF(CourseTitle_Syllabus!31:31,"AAAAAH/vfwg=",0)</f>
        <v>0</v>
      </c>
      <c r="J2" t="e">
        <f>AND(CourseTitle_Syllabus!A31,"AAAAAH/vfwk=")</f>
        <v>#VALUE!</v>
      </c>
      <c r="K2" t="e">
        <f>AND(CourseTitle_Syllabus!B31,"AAAAAH/vfwo=")</f>
        <v>#VALUE!</v>
      </c>
      <c r="L2" t="e">
        <f>AND(CourseTitle_Syllabus!C31,"AAAAAH/vfws=")</f>
        <v>#VALUE!</v>
      </c>
      <c r="M2" t="e">
        <f>AND(CourseTitle_Syllabus!D31,"AAAAAH/vfww=")</f>
        <v>#VALUE!</v>
      </c>
      <c r="N2" t="e">
        <f>AND(CourseTitle_Syllabus!E31,"AAAAAH/vfw0=")</f>
        <v>#VALUE!</v>
      </c>
      <c r="O2" t="e">
        <f>AND(CourseTitle_Syllabus!F31,"AAAAAH/vfw4=")</f>
        <v>#VALUE!</v>
      </c>
      <c r="P2" t="e">
        <f>AND(CourseTitle_Syllabus!G31,"AAAAAH/vfw8=")</f>
        <v>#VALUE!</v>
      </c>
      <c r="Q2" t="e">
        <f>IF(CourseTitle_Syllabus!#REF!,"AAAAAH/vfxA=",0)</f>
        <v>#REF!</v>
      </c>
      <c r="R2" t="e">
        <f>IF(CourseTitle_Syllabus!A:A,"AAAAAH/vfxE=",0)</f>
        <v>#VALUE!</v>
      </c>
      <c r="S2">
        <f>IF(CourseTitle_Syllabus!B:B,"AAAAAH/vfxI=",0)</f>
        <v>0</v>
      </c>
      <c r="T2">
        <f>IF(CourseTitle_Syllabus!C:C,"AAAAAH/vfxM=",0)</f>
        <v>0</v>
      </c>
      <c r="U2">
        <f>IF(CourseTitle_Syllabus!D:D,"AAAAAH/vfxQ=",0)</f>
        <v>0</v>
      </c>
      <c r="V2">
        <f>IF(CourseTitle_Syllabus!E:E,"AAAAAH/vfxU=",0)</f>
        <v>0</v>
      </c>
      <c r="W2">
        <f>IF(CourseTitle_Syllabus!F:F,"AAAAAH/vfxY=",0)</f>
        <v>0</v>
      </c>
      <c r="X2">
        <f>IF(CourseTitle_Syllabus!G:G,"AAAAAH/vfxc=",0)</f>
        <v>0</v>
      </c>
      <c r="Y2" t="e">
        <f>IF(#REF!,"AAAAAH/vfxg=",0)</f>
        <v>#REF!</v>
      </c>
      <c r="Z2" t="e">
        <f>AND(#REF!,"AAAAAH/vfxk=")</f>
        <v>#REF!</v>
      </c>
      <c r="AA2" t="e">
        <f>AND(#REF!,"AAAAAH/vfxo=")</f>
        <v>#REF!</v>
      </c>
      <c r="AB2" t="e">
        <f>AND(#REF!,"AAAAAH/vfxs=")</f>
        <v>#REF!</v>
      </c>
      <c r="AC2" t="e">
        <f>AND(#REF!,"AAAAAH/vfxw=")</f>
        <v>#REF!</v>
      </c>
      <c r="AD2" t="e">
        <f>AND(#REF!,"AAAAAH/vfx0=")</f>
        <v>#REF!</v>
      </c>
      <c r="AE2" t="e">
        <f>AND(#REF!,"AAAAAH/vfx4=")</f>
        <v>#REF!</v>
      </c>
      <c r="AF2" t="e">
        <f>IF(#REF!,"AAAAAH/vfx8=",0)</f>
        <v>#REF!</v>
      </c>
      <c r="AG2" t="e">
        <f>AND(#REF!,"AAAAAH/vfyA=")</f>
        <v>#REF!</v>
      </c>
      <c r="AH2" t="e">
        <f>AND(#REF!,"AAAAAH/vfyE=")</f>
        <v>#REF!</v>
      </c>
      <c r="AI2" t="e">
        <f>AND(#REF!,"AAAAAH/vfyI=")</f>
        <v>#REF!</v>
      </c>
      <c r="AJ2" t="e">
        <f>AND(#REF!,"AAAAAH/vfyM=")</f>
        <v>#REF!</v>
      </c>
      <c r="AK2" t="e">
        <f>AND(#REF!,"AAAAAH/vfyQ=")</f>
        <v>#REF!</v>
      </c>
      <c r="AL2" t="e">
        <f>AND(#REF!,"AAAAAH/vfyU=")</f>
        <v>#REF!</v>
      </c>
      <c r="AM2" t="e">
        <f>IF(#REF!,"AAAAAH/vfyY=",0)</f>
        <v>#REF!</v>
      </c>
      <c r="AN2" t="e">
        <f>AND(#REF!,"AAAAAH/vfyc=")</f>
        <v>#REF!</v>
      </c>
      <c r="AO2" t="e">
        <f>AND(#REF!,"AAAAAH/vfyg=")</f>
        <v>#REF!</v>
      </c>
      <c r="AP2" t="e">
        <f>AND(#REF!,"AAAAAH/vfyk=")</f>
        <v>#REF!</v>
      </c>
      <c r="AQ2" t="e">
        <f>AND(#REF!,"AAAAAH/vfyo=")</f>
        <v>#REF!</v>
      </c>
      <c r="AR2" t="e">
        <f>AND(#REF!,"AAAAAH/vfys=")</f>
        <v>#REF!</v>
      </c>
      <c r="AS2" t="e">
        <f>AND(#REF!,"AAAAAH/vfyw=")</f>
        <v>#REF!</v>
      </c>
      <c r="AT2" t="e">
        <f>IF(#REF!,"AAAAAH/vfy0=",0)</f>
        <v>#REF!</v>
      </c>
      <c r="AU2" t="e">
        <f>AND(#REF!,"AAAAAH/vfy4=")</f>
        <v>#REF!</v>
      </c>
      <c r="AV2" t="e">
        <f>AND(#REF!,"AAAAAH/vfy8=")</f>
        <v>#REF!</v>
      </c>
      <c r="AW2" t="e">
        <f>AND(#REF!,"AAAAAH/vfzA=")</f>
        <v>#REF!</v>
      </c>
      <c r="AX2" t="e">
        <f>AND(#REF!,"AAAAAH/vfzE=")</f>
        <v>#REF!</v>
      </c>
      <c r="AY2" t="e">
        <f>AND(#REF!,"AAAAAH/vfzI=")</f>
        <v>#REF!</v>
      </c>
      <c r="AZ2" t="e">
        <f>AND(#REF!,"AAAAAH/vfzM=")</f>
        <v>#REF!</v>
      </c>
      <c r="BA2" t="e">
        <f>IF(#REF!,"AAAAAH/vfzQ=",0)</f>
        <v>#REF!</v>
      </c>
      <c r="BB2" t="e">
        <f>AND(#REF!,"AAAAAH/vfzU=")</f>
        <v>#REF!</v>
      </c>
      <c r="BC2" t="e">
        <f>AND(#REF!,"AAAAAH/vfzY=")</f>
        <v>#REF!</v>
      </c>
      <c r="BD2" t="e">
        <f>AND(#REF!,"AAAAAH/vfzc=")</f>
        <v>#REF!</v>
      </c>
      <c r="BE2" t="e">
        <f>AND(#REF!,"AAAAAH/vfzg=")</f>
        <v>#REF!</v>
      </c>
      <c r="BF2" t="e">
        <f>AND(#REF!,"AAAAAH/vfzk=")</f>
        <v>#REF!</v>
      </c>
      <c r="BG2" t="e">
        <f>AND(#REF!,"AAAAAH/vfzo=")</f>
        <v>#REF!</v>
      </c>
      <c r="BH2" t="e">
        <f>IF(#REF!,"AAAAAH/vfzs=",0)</f>
        <v>#REF!</v>
      </c>
      <c r="BI2" t="e">
        <f>AND(#REF!,"AAAAAH/vfzw=")</f>
        <v>#REF!</v>
      </c>
      <c r="BJ2" t="e">
        <f>AND(#REF!,"AAAAAH/vfz0=")</f>
        <v>#REF!</v>
      </c>
      <c r="BK2" t="e">
        <f>AND(#REF!,"AAAAAH/vfz4=")</f>
        <v>#REF!</v>
      </c>
      <c r="BL2" t="e">
        <f>AND(#REF!,"AAAAAH/vfz8=")</f>
        <v>#REF!</v>
      </c>
      <c r="BM2" t="e">
        <f>AND(#REF!,"AAAAAH/vf0A=")</f>
        <v>#REF!</v>
      </c>
      <c r="BN2" t="e">
        <f>AND(#REF!,"AAAAAH/vf0E=")</f>
        <v>#REF!</v>
      </c>
      <c r="BO2" t="e">
        <f>IF(#REF!,"AAAAAH/vf0I=",0)</f>
        <v>#REF!</v>
      </c>
      <c r="BP2" t="e">
        <f>AND(#REF!,"AAAAAH/vf0M=")</f>
        <v>#REF!</v>
      </c>
      <c r="BQ2" t="e">
        <f>AND(#REF!,"AAAAAH/vf0Q=")</f>
        <v>#REF!</v>
      </c>
      <c r="BR2" t="e">
        <f>AND(#REF!,"AAAAAH/vf0U=")</f>
        <v>#REF!</v>
      </c>
      <c r="BS2" t="e">
        <f>AND(#REF!,"AAAAAH/vf0Y=")</f>
        <v>#REF!</v>
      </c>
      <c r="BT2" t="e">
        <f>AND(#REF!,"AAAAAH/vf0c=")</f>
        <v>#REF!</v>
      </c>
      <c r="BU2" t="e">
        <f>AND(#REF!,"AAAAAH/vf0g=")</f>
        <v>#REF!</v>
      </c>
      <c r="BV2" t="e">
        <f>IF(#REF!,"AAAAAH/vf0k=",0)</f>
        <v>#REF!</v>
      </c>
      <c r="BW2" t="e">
        <f>AND(#REF!,"AAAAAH/vf0o=")</f>
        <v>#REF!</v>
      </c>
      <c r="BX2" t="e">
        <f>AND(#REF!,"AAAAAH/vf0s=")</f>
        <v>#REF!</v>
      </c>
      <c r="BY2" t="e">
        <f>AND(#REF!,"AAAAAH/vf0w=")</f>
        <v>#REF!</v>
      </c>
      <c r="BZ2" t="e">
        <f>AND(#REF!,"AAAAAH/vf00=")</f>
        <v>#REF!</v>
      </c>
      <c r="CA2" t="e">
        <f>AND(#REF!,"AAAAAH/vf04=")</f>
        <v>#REF!</v>
      </c>
      <c r="CB2" t="e">
        <f>AND(#REF!,"AAAAAH/vf08=")</f>
        <v>#REF!</v>
      </c>
      <c r="CC2" t="e">
        <f>IF(#REF!,"AAAAAH/vf1A=",0)</f>
        <v>#REF!</v>
      </c>
      <c r="CD2" t="e">
        <f>AND(#REF!,"AAAAAH/vf1E=")</f>
        <v>#REF!</v>
      </c>
      <c r="CE2" t="e">
        <f>AND(#REF!,"AAAAAH/vf1I=")</f>
        <v>#REF!</v>
      </c>
      <c r="CF2" t="e">
        <f>AND(#REF!,"AAAAAH/vf1M=")</f>
        <v>#REF!</v>
      </c>
      <c r="CG2" t="e">
        <f>AND(#REF!,"AAAAAH/vf1Q=")</f>
        <v>#REF!</v>
      </c>
      <c r="CH2" t="e">
        <f>AND(#REF!,"AAAAAH/vf1U=")</f>
        <v>#REF!</v>
      </c>
      <c r="CI2" t="e">
        <f>AND(#REF!,"AAAAAH/vf1Y=")</f>
        <v>#REF!</v>
      </c>
      <c r="CJ2" t="e">
        <f>IF(#REF!,"AAAAAH/vf1c=",0)</f>
        <v>#REF!</v>
      </c>
      <c r="CK2" t="e">
        <f>AND(#REF!,"AAAAAH/vf1g=")</f>
        <v>#REF!</v>
      </c>
      <c r="CL2" t="e">
        <f>AND(#REF!,"AAAAAH/vf1k=")</f>
        <v>#REF!</v>
      </c>
      <c r="CM2" t="e">
        <f>AND(#REF!,"AAAAAH/vf1o=")</f>
        <v>#REF!</v>
      </c>
      <c r="CN2" t="e">
        <f>AND(#REF!,"AAAAAH/vf1s=")</f>
        <v>#REF!</v>
      </c>
      <c r="CO2" t="e">
        <f>AND(#REF!,"AAAAAH/vf1w=")</f>
        <v>#REF!</v>
      </c>
      <c r="CP2" t="e">
        <f>AND(#REF!,"AAAAAH/vf10=")</f>
        <v>#REF!</v>
      </c>
      <c r="CQ2" t="e">
        <f>IF(#REF!,"AAAAAH/vf14=",0)</f>
        <v>#REF!</v>
      </c>
      <c r="CR2" t="e">
        <f>AND(#REF!,"AAAAAH/vf18=")</f>
        <v>#REF!</v>
      </c>
      <c r="CS2" t="e">
        <f>AND(#REF!,"AAAAAH/vf2A=")</f>
        <v>#REF!</v>
      </c>
      <c r="CT2" t="e">
        <f>AND(#REF!,"AAAAAH/vf2E=")</f>
        <v>#REF!</v>
      </c>
      <c r="CU2" t="e">
        <f>AND(#REF!,"AAAAAH/vf2I=")</f>
        <v>#REF!</v>
      </c>
      <c r="CV2" t="e">
        <f>AND(#REF!,"AAAAAH/vf2M=")</f>
        <v>#REF!</v>
      </c>
      <c r="CW2" t="e">
        <f>AND(#REF!,"AAAAAH/vf2Q=")</f>
        <v>#REF!</v>
      </c>
      <c r="CX2" t="e">
        <f>IF(#REF!,"AAAAAH/vf2U=",0)</f>
        <v>#REF!</v>
      </c>
      <c r="CY2" t="e">
        <f>AND(#REF!,"AAAAAH/vf2Y=")</f>
        <v>#REF!</v>
      </c>
      <c r="CZ2" t="e">
        <f>AND(#REF!,"AAAAAH/vf2c=")</f>
        <v>#REF!</v>
      </c>
      <c r="DA2" t="e">
        <f>AND(#REF!,"AAAAAH/vf2g=")</f>
        <v>#REF!</v>
      </c>
      <c r="DB2" t="e">
        <f>AND(#REF!,"AAAAAH/vf2k=")</f>
        <v>#REF!</v>
      </c>
      <c r="DC2" t="e">
        <f>AND(#REF!,"AAAAAH/vf2o=")</f>
        <v>#REF!</v>
      </c>
      <c r="DD2" t="e">
        <f>AND(#REF!,"AAAAAH/vf2s=")</f>
        <v>#REF!</v>
      </c>
      <c r="DE2" t="e">
        <f>IF(#REF!,"AAAAAH/vf2w=",0)</f>
        <v>#REF!</v>
      </c>
      <c r="DF2" t="e">
        <f>AND(#REF!,"AAAAAH/vf20=")</f>
        <v>#REF!</v>
      </c>
      <c r="DG2" t="e">
        <f>AND(#REF!,"AAAAAH/vf24=")</f>
        <v>#REF!</v>
      </c>
      <c r="DH2" t="e">
        <f>AND(#REF!,"AAAAAH/vf28=")</f>
        <v>#REF!</v>
      </c>
      <c r="DI2" t="e">
        <f>AND(#REF!,"AAAAAH/vf3A=")</f>
        <v>#REF!</v>
      </c>
      <c r="DJ2" t="e">
        <f>AND(#REF!,"AAAAAH/vf3E=")</f>
        <v>#REF!</v>
      </c>
      <c r="DK2" t="e">
        <f>AND(#REF!,"AAAAAH/vf3I=")</f>
        <v>#REF!</v>
      </c>
      <c r="DL2" t="e">
        <f>IF(#REF!,"AAAAAH/vf3M=",0)</f>
        <v>#REF!</v>
      </c>
      <c r="DM2" t="e">
        <f>AND(#REF!,"AAAAAH/vf3Q=")</f>
        <v>#REF!</v>
      </c>
      <c r="DN2" t="e">
        <f>AND(#REF!,"AAAAAH/vf3U=")</f>
        <v>#REF!</v>
      </c>
      <c r="DO2" t="e">
        <f>AND(#REF!,"AAAAAH/vf3Y=")</f>
        <v>#REF!</v>
      </c>
      <c r="DP2" t="e">
        <f>AND(#REF!,"AAAAAH/vf3c=")</f>
        <v>#REF!</v>
      </c>
      <c r="DQ2" t="e">
        <f>AND(#REF!,"AAAAAH/vf3g=")</f>
        <v>#REF!</v>
      </c>
      <c r="DR2" t="e">
        <f>AND(#REF!,"AAAAAH/vf3k=")</f>
        <v>#REF!</v>
      </c>
      <c r="DS2" t="e">
        <f>IF(#REF!,"AAAAAH/vf3o=",0)</f>
        <v>#REF!</v>
      </c>
      <c r="DT2" t="e">
        <f>AND(#REF!,"AAAAAH/vf3s=")</f>
        <v>#REF!</v>
      </c>
      <c r="DU2" t="e">
        <f>AND(#REF!,"AAAAAH/vf3w=")</f>
        <v>#REF!</v>
      </c>
      <c r="DV2" t="e">
        <f>AND(#REF!,"AAAAAH/vf30=")</f>
        <v>#REF!</v>
      </c>
      <c r="DW2" t="e">
        <f>AND(#REF!,"AAAAAH/vf34=")</f>
        <v>#REF!</v>
      </c>
      <c r="DX2" t="e">
        <f>AND(#REF!,"AAAAAH/vf38=")</f>
        <v>#REF!</v>
      </c>
      <c r="DY2" t="e">
        <f>AND(#REF!,"AAAAAH/vf4A=")</f>
        <v>#REF!</v>
      </c>
      <c r="DZ2" t="e">
        <f>IF(#REF!,"AAAAAH/vf4E=",0)</f>
        <v>#REF!</v>
      </c>
      <c r="EA2" t="e">
        <f>AND(#REF!,"AAAAAH/vf4I=")</f>
        <v>#REF!</v>
      </c>
      <c r="EB2" t="e">
        <f>AND(#REF!,"AAAAAH/vf4M=")</f>
        <v>#REF!</v>
      </c>
      <c r="EC2" t="e">
        <f>AND(#REF!,"AAAAAH/vf4Q=")</f>
        <v>#REF!</v>
      </c>
      <c r="ED2" t="e">
        <f>AND(#REF!,"AAAAAH/vf4U=")</f>
        <v>#REF!</v>
      </c>
      <c r="EE2" t="e">
        <f>AND(#REF!,"AAAAAH/vf4Y=")</f>
        <v>#REF!</v>
      </c>
      <c r="EF2" t="e">
        <f>AND(#REF!,"AAAAAH/vf4c=")</f>
        <v>#REF!</v>
      </c>
      <c r="EG2" t="e">
        <f>IF(#REF!,"AAAAAH/vf4g=",0)</f>
        <v>#REF!</v>
      </c>
      <c r="EH2" t="e">
        <f>AND(#REF!,"AAAAAH/vf4k=")</f>
        <v>#REF!</v>
      </c>
      <c r="EI2" t="e">
        <f>AND(#REF!,"AAAAAH/vf4o=")</f>
        <v>#REF!</v>
      </c>
      <c r="EJ2" t="e">
        <f>AND(#REF!,"AAAAAH/vf4s=")</f>
        <v>#REF!</v>
      </c>
      <c r="EK2" t="e">
        <f>AND(#REF!,"AAAAAH/vf4w=")</f>
        <v>#REF!</v>
      </c>
      <c r="EL2" t="e">
        <f>AND(#REF!,"AAAAAH/vf40=")</f>
        <v>#REF!</v>
      </c>
      <c r="EM2" t="e">
        <f>AND(#REF!,"AAAAAH/vf44=")</f>
        <v>#REF!</v>
      </c>
      <c r="EN2" t="e">
        <f>IF(#REF!,"AAAAAH/vf48=",0)</f>
        <v>#REF!</v>
      </c>
      <c r="EO2" t="e">
        <f>AND(#REF!,"AAAAAH/vf5A=")</f>
        <v>#REF!</v>
      </c>
      <c r="EP2" t="e">
        <f>AND(#REF!,"AAAAAH/vf5E=")</f>
        <v>#REF!</v>
      </c>
      <c r="EQ2" t="e">
        <f>AND(#REF!,"AAAAAH/vf5I=")</f>
        <v>#REF!</v>
      </c>
      <c r="ER2" t="e">
        <f>AND(#REF!,"AAAAAH/vf5M=")</f>
        <v>#REF!</v>
      </c>
      <c r="ES2" t="e">
        <f>AND(#REF!,"AAAAAH/vf5Q=")</f>
        <v>#REF!</v>
      </c>
      <c r="ET2" t="e">
        <f>AND(#REF!,"AAAAAH/vf5U=")</f>
        <v>#REF!</v>
      </c>
      <c r="EU2" t="e">
        <f>IF(#REF!,"AAAAAH/vf5Y=",0)</f>
        <v>#REF!</v>
      </c>
      <c r="EV2" t="e">
        <f>AND(#REF!,"AAAAAH/vf5c=")</f>
        <v>#REF!</v>
      </c>
      <c r="EW2" t="e">
        <f>AND(#REF!,"AAAAAH/vf5g=")</f>
        <v>#REF!</v>
      </c>
      <c r="EX2" t="e">
        <f>AND(#REF!,"AAAAAH/vf5k=")</f>
        <v>#REF!</v>
      </c>
      <c r="EY2" t="e">
        <f>AND(#REF!,"AAAAAH/vf5o=")</f>
        <v>#REF!</v>
      </c>
      <c r="EZ2" t="e">
        <f>AND(#REF!,"AAAAAH/vf5s=")</f>
        <v>#REF!</v>
      </c>
      <c r="FA2" t="e">
        <f>AND(#REF!,"AAAAAH/vf5w=")</f>
        <v>#REF!</v>
      </c>
      <c r="FB2" t="e">
        <f>IF(#REF!,"AAAAAH/vf50=",0)</f>
        <v>#REF!</v>
      </c>
      <c r="FC2" t="e">
        <f>AND(#REF!,"AAAAAH/vf54=")</f>
        <v>#REF!</v>
      </c>
      <c r="FD2" t="e">
        <f>AND(#REF!,"AAAAAH/vf58=")</f>
        <v>#REF!</v>
      </c>
      <c r="FE2" t="e">
        <f>AND(#REF!,"AAAAAH/vf6A=")</f>
        <v>#REF!</v>
      </c>
      <c r="FF2" t="e">
        <f>AND(#REF!,"AAAAAH/vf6E=")</f>
        <v>#REF!</v>
      </c>
      <c r="FG2" t="e">
        <f>AND(#REF!,"AAAAAH/vf6I=")</f>
        <v>#REF!</v>
      </c>
      <c r="FH2" t="e">
        <f>AND(#REF!,"AAAAAH/vf6M=")</f>
        <v>#REF!</v>
      </c>
      <c r="FI2" t="e">
        <f>IF(#REF!,"AAAAAH/vf6Q=",0)</f>
        <v>#REF!</v>
      </c>
      <c r="FJ2" t="e">
        <f>AND(#REF!,"AAAAAH/vf6U=")</f>
        <v>#REF!</v>
      </c>
      <c r="FK2" t="e">
        <f>AND(#REF!,"AAAAAH/vf6Y=")</f>
        <v>#REF!</v>
      </c>
      <c r="FL2" t="e">
        <f>AND(#REF!,"AAAAAH/vf6c=")</f>
        <v>#REF!</v>
      </c>
      <c r="FM2" t="e">
        <f>AND(#REF!,"AAAAAH/vf6g=")</f>
        <v>#REF!</v>
      </c>
      <c r="FN2" t="e">
        <f>AND(#REF!,"AAAAAH/vf6k=")</f>
        <v>#REF!</v>
      </c>
      <c r="FO2" t="e">
        <f>AND(#REF!,"AAAAAH/vf6o=")</f>
        <v>#REF!</v>
      </c>
      <c r="FP2" t="e">
        <f>IF(#REF!,"AAAAAH/vf6s=",0)</f>
        <v>#REF!</v>
      </c>
      <c r="FQ2" t="e">
        <f>AND(#REF!,"AAAAAH/vf6w=")</f>
        <v>#REF!</v>
      </c>
      <c r="FR2" t="e">
        <f>AND(#REF!,"AAAAAH/vf60=")</f>
        <v>#REF!</v>
      </c>
      <c r="FS2" t="e">
        <f>AND(#REF!,"AAAAAH/vf64=")</f>
        <v>#REF!</v>
      </c>
      <c r="FT2" t="e">
        <f>AND(#REF!,"AAAAAH/vf68=")</f>
        <v>#REF!</v>
      </c>
      <c r="FU2" t="e">
        <f>AND(#REF!,"AAAAAH/vf7A=")</f>
        <v>#REF!</v>
      </c>
      <c r="FV2" t="e">
        <f>AND(#REF!,"AAAAAH/vf7E=")</f>
        <v>#REF!</v>
      </c>
      <c r="FW2" t="e">
        <f>IF(#REF!,"AAAAAH/vf7I=",0)</f>
        <v>#REF!</v>
      </c>
      <c r="FX2" t="e">
        <f>AND(#REF!,"AAAAAH/vf7M=")</f>
        <v>#REF!</v>
      </c>
      <c r="FY2" t="e">
        <f>AND(#REF!,"AAAAAH/vf7Q=")</f>
        <v>#REF!</v>
      </c>
      <c r="FZ2" t="e">
        <f>AND(#REF!,"AAAAAH/vf7U=")</f>
        <v>#REF!</v>
      </c>
      <c r="GA2" t="e">
        <f>AND(#REF!,"AAAAAH/vf7Y=")</f>
        <v>#REF!</v>
      </c>
      <c r="GB2" t="e">
        <f>AND(#REF!,"AAAAAH/vf7c=")</f>
        <v>#REF!</v>
      </c>
      <c r="GC2" t="e">
        <f>AND(#REF!,"AAAAAH/vf7g=")</f>
        <v>#REF!</v>
      </c>
      <c r="GD2" t="e">
        <f>IF(#REF!,"AAAAAH/vf7k=",0)</f>
        <v>#REF!</v>
      </c>
      <c r="GE2" t="e">
        <f>AND(#REF!,"AAAAAH/vf7o=")</f>
        <v>#REF!</v>
      </c>
      <c r="GF2" t="e">
        <f>AND(#REF!,"AAAAAH/vf7s=")</f>
        <v>#REF!</v>
      </c>
      <c r="GG2" t="e">
        <f>AND(#REF!,"AAAAAH/vf7w=")</f>
        <v>#REF!</v>
      </c>
      <c r="GH2" t="e">
        <f>AND(#REF!,"AAAAAH/vf70=")</f>
        <v>#REF!</v>
      </c>
      <c r="GI2" t="e">
        <f>AND(#REF!,"AAAAAH/vf74=")</f>
        <v>#REF!</v>
      </c>
      <c r="GJ2" t="e">
        <f>AND(#REF!,"AAAAAH/vf78=")</f>
        <v>#REF!</v>
      </c>
      <c r="GK2" t="e">
        <f>IF(#REF!,"AAAAAH/vf8A=",0)</f>
        <v>#REF!</v>
      </c>
      <c r="GL2" t="e">
        <f>AND(#REF!,"AAAAAH/vf8E=")</f>
        <v>#REF!</v>
      </c>
      <c r="GM2" t="e">
        <f>AND(#REF!,"AAAAAH/vf8I=")</f>
        <v>#REF!</v>
      </c>
      <c r="GN2" t="e">
        <f>AND(#REF!,"AAAAAH/vf8M=")</f>
        <v>#REF!</v>
      </c>
      <c r="GO2" t="e">
        <f>AND(#REF!,"AAAAAH/vf8Q=")</f>
        <v>#REF!</v>
      </c>
      <c r="GP2" t="e">
        <f>AND(#REF!,"AAAAAH/vf8U=")</f>
        <v>#REF!</v>
      </c>
      <c r="GQ2" t="e">
        <f>AND(#REF!,"AAAAAH/vf8Y=")</f>
        <v>#REF!</v>
      </c>
      <c r="GR2" t="e">
        <f>IF(#REF!,"AAAAAH/vf8c=",0)</f>
        <v>#REF!</v>
      </c>
      <c r="GS2" t="e">
        <f>AND(#REF!,"AAAAAH/vf8g=")</f>
        <v>#REF!</v>
      </c>
      <c r="GT2" t="e">
        <f>AND(#REF!,"AAAAAH/vf8k=")</f>
        <v>#REF!</v>
      </c>
      <c r="GU2" t="e">
        <f>AND(#REF!,"AAAAAH/vf8o=")</f>
        <v>#REF!</v>
      </c>
      <c r="GV2" t="e">
        <f>AND(#REF!,"AAAAAH/vf8s=")</f>
        <v>#REF!</v>
      </c>
      <c r="GW2" t="e">
        <f>AND(#REF!,"AAAAAH/vf8w=")</f>
        <v>#REF!</v>
      </c>
      <c r="GX2" t="e">
        <f>AND(#REF!,"AAAAAH/vf80=")</f>
        <v>#REF!</v>
      </c>
      <c r="GY2" t="e">
        <f>IF(#REF!,"AAAAAH/vf84=",0)</f>
        <v>#REF!</v>
      </c>
      <c r="GZ2" t="e">
        <f>AND(#REF!,"AAAAAH/vf88=")</f>
        <v>#REF!</v>
      </c>
      <c r="HA2" t="e">
        <f>AND(#REF!,"AAAAAH/vf9A=")</f>
        <v>#REF!</v>
      </c>
      <c r="HB2" t="e">
        <f>AND(#REF!,"AAAAAH/vf9E=")</f>
        <v>#REF!</v>
      </c>
      <c r="HC2" t="e">
        <f>AND(#REF!,"AAAAAH/vf9I=")</f>
        <v>#REF!</v>
      </c>
      <c r="HD2" t="e">
        <f>AND(#REF!,"AAAAAH/vf9M=")</f>
        <v>#REF!</v>
      </c>
      <c r="HE2" t="e">
        <f>AND(#REF!,"AAAAAH/vf9Q=")</f>
        <v>#REF!</v>
      </c>
      <c r="HF2" t="e">
        <f>IF(#REF!,"AAAAAH/vf9U=",0)</f>
        <v>#REF!</v>
      </c>
      <c r="HG2" t="e">
        <f>AND(#REF!,"AAAAAH/vf9Y=")</f>
        <v>#REF!</v>
      </c>
      <c r="HH2" t="e">
        <f>AND(#REF!,"AAAAAH/vf9c=")</f>
        <v>#REF!</v>
      </c>
      <c r="HI2" t="e">
        <f>AND(#REF!,"AAAAAH/vf9g=")</f>
        <v>#REF!</v>
      </c>
      <c r="HJ2" t="e">
        <f>AND(#REF!,"AAAAAH/vf9k=")</f>
        <v>#REF!</v>
      </c>
      <c r="HK2" t="e">
        <f>AND(#REF!,"AAAAAH/vf9o=")</f>
        <v>#REF!</v>
      </c>
      <c r="HL2" t="e">
        <f>AND(#REF!,"AAAAAH/vf9s=")</f>
        <v>#REF!</v>
      </c>
      <c r="HM2" t="e">
        <f>IF(#REF!,"AAAAAH/vf9w=",0)</f>
        <v>#REF!</v>
      </c>
      <c r="HN2" t="e">
        <f>AND(#REF!,"AAAAAH/vf90=")</f>
        <v>#REF!</v>
      </c>
      <c r="HO2" t="e">
        <f>AND(#REF!,"AAAAAH/vf94=")</f>
        <v>#REF!</v>
      </c>
      <c r="HP2" t="e">
        <f>AND(#REF!,"AAAAAH/vf98=")</f>
        <v>#REF!</v>
      </c>
      <c r="HQ2" t="e">
        <f>AND(#REF!,"AAAAAH/vf+A=")</f>
        <v>#REF!</v>
      </c>
      <c r="HR2" t="e">
        <f>AND(#REF!,"AAAAAH/vf+E=")</f>
        <v>#REF!</v>
      </c>
      <c r="HS2" t="e">
        <f>AND(#REF!,"AAAAAH/vf+I=")</f>
        <v>#REF!</v>
      </c>
      <c r="HT2" t="e">
        <f>IF(#REF!,"AAAAAH/vf+M=",0)</f>
        <v>#REF!</v>
      </c>
      <c r="HU2" t="e">
        <f>AND(#REF!,"AAAAAH/vf+Q=")</f>
        <v>#REF!</v>
      </c>
      <c r="HV2" t="e">
        <f>AND(#REF!,"AAAAAH/vf+U=")</f>
        <v>#REF!</v>
      </c>
      <c r="HW2" t="e">
        <f>AND(#REF!,"AAAAAH/vf+Y=")</f>
        <v>#REF!</v>
      </c>
      <c r="HX2" t="e">
        <f>AND(#REF!,"AAAAAH/vf+c=")</f>
        <v>#REF!</v>
      </c>
      <c r="HY2" t="e">
        <f>AND(#REF!,"AAAAAH/vf+g=")</f>
        <v>#REF!</v>
      </c>
      <c r="HZ2" t="e">
        <f>AND(#REF!,"AAAAAH/vf+k=")</f>
        <v>#REF!</v>
      </c>
      <c r="IA2" t="e">
        <f>IF(#REF!,"AAAAAH/vf+o=",0)</f>
        <v>#REF!</v>
      </c>
      <c r="IB2" t="e">
        <f>AND(#REF!,"AAAAAH/vf+s=")</f>
        <v>#REF!</v>
      </c>
      <c r="IC2" t="e">
        <f>AND(#REF!,"AAAAAH/vf+w=")</f>
        <v>#REF!</v>
      </c>
      <c r="ID2" t="e">
        <f>AND(#REF!,"AAAAAH/vf+0=")</f>
        <v>#REF!</v>
      </c>
      <c r="IE2" t="e">
        <f>AND(#REF!,"AAAAAH/vf+4=")</f>
        <v>#REF!</v>
      </c>
      <c r="IF2" t="e">
        <f>AND(#REF!,"AAAAAH/vf+8=")</f>
        <v>#REF!</v>
      </c>
      <c r="IG2" t="e">
        <f>AND(#REF!,"AAAAAH/vf/A=")</f>
        <v>#REF!</v>
      </c>
      <c r="IH2" t="e">
        <f>IF(#REF!,"AAAAAH/vf/E=",0)</f>
        <v>#REF!</v>
      </c>
      <c r="II2" t="e">
        <f>AND(#REF!,"AAAAAH/vf/I=")</f>
        <v>#REF!</v>
      </c>
      <c r="IJ2" t="e">
        <f>AND(#REF!,"AAAAAH/vf/M=")</f>
        <v>#REF!</v>
      </c>
      <c r="IK2" t="e">
        <f>AND(#REF!,"AAAAAH/vf/Q=")</f>
        <v>#REF!</v>
      </c>
      <c r="IL2" t="e">
        <f>AND(#REF!,"AAAAAH/vf/U=")</f>
        <v>#REF!</v>
      </c>
      <c r="IM2" t="e">
        <f>AND(#REF!,"AAAAAH/vf/Y=")</f>
        <v>#REF!</v>
      </c>
      <c r="IN2" t="e">
        <f>AND(#REF!,"AAAAAH/vf/c=")</f>
        <v>#REF!</v>
      </c>
      <c r="IO2" t="e">
        <f>IF(#REF!,"AAAAAH/vf/g=",0)</f>
        <v>#REF!</v>
      </c>
      <c r="IP2" t="e">
        <f>AND(#REF!,"AAAAAH/vf/k=")</f>
        <v>#REF!</v>
      </c>
      <c r="IQ2" t="e">
        <f>AND(#REF!,"AAAAAH/vf/o=")</f>
        <v>#REF!</v>
      </c>
      <c r="IR2" t="e">
        <f>AND(#REF!,"AAAAAH/vf/s=")</f>
        <v>#REF!</v>
      </c>
      <c r="IS2" t="e">
        <f>AND(#REF!,"AAAAAH/vf/w=")</f>
        <v>#REF!</v>
      </c>
      <c r="IT2" t="e">
        <f>AND(#REF!,"AAAAAH/vf/0=")</f>
        <v>#REF!</v>
      </c>
      <c r="IU2" t="e">
        <f>AND(#REF!,"AAAAAH/vf/4=")</f>
        <v>#REF!</v>
      </c>
      <c r="IV2" t="e">
        <f>IF(#REF!,"AAAAAH/vf/8=",0)</f>
        <v>#REF!</v>
      </c>
    </row>
    <row r="3" spans="1:256">
      <c r="A3" t="e">
        <f>AND(#REF!,"AAAAABPz/wA=")</f>
        <v>#REF!</v>
      </c>
      <c r="B3" t="e">
        <f>AND(#REF!,"AAAAABPz/wE=")</f>
        <v>#REF!</v>
      </c>
      <c r="C3" t="e">
        <f>AND(#REF!,"AAAAABPz/wI=")</f>
        <v>#REF!</v>
      </c>
      <c r="D3" t="e">
        <f>AND(#REF!,"AAAAABPz/wM=")</f>
        <v>#REF!</v>
      </c>
      <c r="E3" t="e">
        <f>AND(#REF!,"AAAAABPz/wQ=")</f>
        <v>#REF!</v>
      </c>
      <c r="F3" t="e">
        <f>AND(#REF!,"AAAAABPz/wU=")</f>
        <v>#REF!</v>
      </c>
      <c r="G3" t="e">
        <f>IF(#REF!,"AAAAABPz/wY=",0)</f>
        <v>#REF!</v>
      </c>
      <c r="H3" t="e">
        <f>AND(#REF!,"AAAAABPz/wc=")</f>
        <v>#REF!</v>
      </c>
      <c r="I3" t="e">
        <f>AND(#REF!,"AAAAABPz/wg=")</f>
        <v>#REF!</v>
      </c>
      <c r="J3" t="e">
        <f>AND(#REF!,"AAAAABPz/wk=")</f>
        <v>#REF!</v>
      </c>
      <c r="K3" t="e">
        <f>AND(#REF!,"AAAAABPz/wo=")</f>
        <v>#REF!</v>
      </c>
      <c r="L3" t="e">
        <f>AND(#REF!,"AAAAABPz/ws=")</f>
        <v>#REF!</v>
      </c>
      <c r="M3" t="e">
        <f>AND(#REF!,"AAAAABPz/ww=")</f>
        <v>#REF!</v>
      </c>
      <c r="N3" t="e">
        <f>IF(#REF!,"AAAAABPz/w0=",0)</f>
        <v>#REF!</v>
      </c>
      <c r="O3" t="e">
        <f>AND(#REF!,"AAAAABPz/w4=")</f>
        <v>#REF!</v>
      </c>
      <c r="P3" t="e">
        <f>AND(#REF!,"AAAAABPz/w8=")</f>
        <v>#REF!</v>
      </c>
      <c r="Q3" t="e">
        <f>AND(#REF!,"AAAAABPz/xA=")</f>
        <v>#REF!</v>
      </c>
      <c r="R3" t="e">
        <f>AND(#REF!,"AAAAABPz/xE=")</f>
        <v>#REF!</v>
      </c>
      <c r="S3" t="e">
        <f>AND(#REF!,"AAAAABPz/xI=")</f>
        <v>#REF!</v>
      </c>
      <c r="T3" t="e">
        <f>AND(#REF!,"AAAAABPz/xM=")</f>
        <v>#REF!</v>
      </c>
      <c r="U3" t="e">
        <f>IF(#REF!,"AAAAABPz/xQ=",0)</f>
        <v>#REF!</v>
      </c>
      <c r="V3" t="e">
        <f>AND(#REF!,"AAAAABPz/xU=")</f>
        <v>#REF!</v>
      </c>
      <c r="W3" t="e">
        <f>AND(#REF!,"AAAAABPz/xY=")</f>
        <v>#REF!</v>
      </c>
      <c r="X3" t="e">
        <f>AND(#REF!,"AAAAABPz/xc=")</f>
        <v>#REF!</v>
      </c>
      <c r="Y3" t="e">
        <f>AND(#REF!,"AAAAABPz/xg=")</f>
        <v>#REF!</v>
      </c>
      <c r="Z3" t="e">
        <f>AND(#REF!,"AAAAABPz/xk=")</f>
        <v>#REF!</v>
      </c>
      <c r="AA3" t="e">
        <f>AND(#REF!,"AAAAABPz/xo=")</f>
        <v>#REF!</v>
      </c>
      <c r="AB3" t="e">
        <f>IF(#REF!,"AAAAABPz/xs=",0)</f>
        <v>#REF!</v>
      </c>
      <c r="AC3" t="e">
        <f>AND(#REF!,"AAAAABPz/xw=")</f>
        <v>#REF!</v>
      </c>
      <c r="AD3" t="e">
        <f>AND(#REF!,"AAAAABPz/x0=")</f>
        <v>#REF!</v>
      </c>
      <c r="AE3" t="e">
        <f>AND(#REF!,"AAAAABPz/x4=")</f>
        <v>#REF!</v>
      </c>
      <c r="AF3" t="e">
        <f>AND(#REF!,"AAAAABPz/x8=")</f>
        <v>#REF!</v>
      </c>
      <c r="AG3" t="e">
        <f>AND(#REF!,"AAAAABPz/yA=")</f>
        <v>#REF!</v>
      </c>
      <c r="AH3" t="e">
        <f>AND(#REF!,"AAAAABPz/yE=")</f>
        <v>#REF!</v>
      </c>
      <c r="AI3" t="e">
        <f>IF(#REF!,"AAAAABPz/yI=",0)</f>
        <v>#REF!</v>
      </c>
      <c r="AJ3" t="e">
        <f>AND(#REF!,"AAAAABPz/yM=")</f>
        <v>#REF!</v>
      </c>
      <c r="AK3" t="e">
        <f>AND(#REF!,"AAAAABPz/yQ=")</f>
        <v>#REF!</v>
      </c>
      <c r="AL3" t="e">
        <f>AND(#REF!,"AAAAABPz/yU=")</f>
        <v>#REF!</v>
      </c>
      <c r="AM3" t="e">
        <f>AND(#REF!,"AAAAABPz/yY=")</f>
        <v>#REF!</v>
      </c>
      <c r="AN3" t="e">
        <f>AND(#REF!,"AAAAABPz/yc=")</f>
        <v>#REF!</v>
      </c>
      <c r="AO3" t="e">
        <f>AND(#REF!,"AAAAABPz/yg=")</f>
        <v>#REF!</v>
      </c>
      <c r="AP3" t="e">
        <f>IF(#REF!,"AAAAABPz/yk=",0)</f>
        <v>#REF!</v>
      </c>
      <c r="AQ3" t="e">
        <f>AND(#REF!,"AAAAABPz/yo=")</f>
        <v>#REF!</v>
      </c>
      <c r="AR3" t="e">
        <f>AND(#REF!,"AAAAABPz/ys=")</f>
        <v>#REF!</v>
      </c>
      <c r="AS3" t="e">
        <f>AND(#REF!,"AAAAABPz/yw=")</f>
        <v>#REF!</v>
      </c>
      <c r="AT3" t="e">
        <f>AND(#REF!,"AAAAABPz/y0=")</f>
        <v>#REF!</v>
      </c>
      <c r="AU3" t="e">
        <f>AND(#REF!,"AAAAABPz/y4=")</f>
        <v>#REF!</v>
      </c>
      <c r="AV3" t="e">
        <f>AND(#REF!,"AAAAABPz/y8=")</f>
        <v>#REF!</v>
      </c>
      <c r="AW3" t="e">
        <f>IF(#REF!,"AAAAABPz/zA=",0)</f>
        <v>#REF!</v>
      </c>
      <c r="AX3" t="e">
        <f>AND(#REF!,"AAAAABPz/zE=")</f>
        <v>#REF!</v>
      </c>
      <c r="AY3" t="e">
        <f>AND(#REF!,"AAAAABPz/zI=")</f>
        <v>#REF!</v>
      </c>
      <c r="AZ3" t="e">
        <f>AND(#REF!,"AAAAABPz/zM=")</f>
        <v>#REF!</v>
      </c>
      <c r="BA3" t="e">
        <f>AND(#REF!,"AAAAABPz/zQ=")</f>
        <v>#REF!</v>
      </c>
      <c r="BB3" t="e">
        <f>AND(#REF!,"AAAAABPz/zU=")</f>
        <v>#REF!</v>
      </c>
      <c r="BC3" t="e">
        <f>AND(#REF!,"AAAAABPz/zY=")</f>
        <v>#REF!</v>
      </c>
      <c r="BD3" t="e">
        <f>IF(#REF!,"AAAAABPz/zc=",0)</f>
        <v>#REF!</v>
      </c>
      <c r="BE3" t="e">
        <f>AND(#REF!,"AAAAABPz/zg=")</f>
        <v>#REF!</v>
      </c>
      <c r="BF3" t="e">
        <f>AND(#REF!,"AAAAABPz/zk=")</f>
        <v>#REF!</v>
      </c>
      <c r="BG3" t="e">
        <f>AND(#REF!,"AAAAABPz/zo=")</f>
        <v>#REF!</v>
      </c>
      <c r="BH3" t="e">
        <f>AND(#REF!,"AAAAABPz/zs=")</f>
        <v>#REF!</v>
      </c>
      <c r="BI3" t="e">
        <f>AND(#REF!,"AAAAABPz/zw=")</f>
        <v>#REF!</v>
      </c>
      <c r="BJ3" t="e">
        <f>AND(#REF!,"AAAAABPz/z0=")</f>
        <v>#REF!</v>
      </c>
      <c r="BK3" t="e">
        <f>IF(#REF!,"AAAAABPz/z4=",0)</f>
        <v>#REF!</v>
      </c>
      <c r="BL3" t="e">
        <f>AND(#REF!,"AAAAABPz/z8=")</f>
        <v>#REF!</v>
      </c>
      <c r="BM3" t="e">
        <f>AND(#REF!,"AAAAABPz/0A=")</f>
        <v>#REF!</v>
      </c>
      <c r="BN3" t="e">
        <f>AND(#REF!,"AAAAABPz/0E=")</f>
        <v>#REF!</v>
      </c>
      <c r="BO3" t="e">
        <f>AND(#REF!,"AAAAABPz/0I=")</f>
        <v>#REF!</v>
      </c>
      <c r="BP3" t="e">
        <f>AND(#REF!,"AAAAABPz/0M=")</f>
        <v>#REF!</v>
      </c>
      <c r="BQ3" t="e">
        <f>AND(#REF!,"AAAAABPz/0Q=")</f>
        <v>#REF!</v>
      </c>
      <c r="BR3" t="e">
        <f>IF(#REF!,"AAAAABPz/0U=",0)</f>
        <v>#REF!</v>
      </c>
      <c r="BS3" t="e">
        <f>AND(#REF!,"AAAAABPz/0Y=")</f>
        <v>#REF!</v>
      </c>
      <c r="BT3" t="e">
        <f>AND(#REF!,"AAAAABPz/0c=")</f>
        <v>#REF!</v>
      </c>
      <c r="BU3" t="e">
        <f>AND(#REF!,"AAAAABPz/0g=")</f>
        <v>#REF!</v>
      </c>
      <c r="BV3" t="e">
        <f>AND(#REF!,"AAAAABPz/0k=")</f>
        <v>#REF!</v>
      </c>
      <c r="BW3" t="e">
        <f>AND(#REF!,"AAAAABPz/0o=")</f>
        <v>#REF!</v>
      </c>
      <c r="BX3" t="e">
        <f>AND(#REF!,"AAAAABPz/0s=")</f>
        <v>#REF!</v>
      </c>
      <c r="BY3" t="e">
        <f>IF(#REF!,"AAAAABPz/0w=",0)</f>
        <v>#REF!</v>
      </c>
      <c r="BZ3" t="e">
        <f>AND(#REF!,"AAAAABPz/00=")</f>
        <v>#REF!</v>
      </c>
      <c r="CA3" t="e">
        <f>AND(#REF!,"AAAAABPz/04=")</f>
        <v>#REF!</v>
      </c>
      <c r="CB3" t="e">
        <f>AND(#REF!,"AAAAABPz/08=")</f>
        <v>#REF!</v>
      </c>
      <c r="CC3" t="e">
        <f>AND(#REF!,"AAAAABPz/1A=")</f>
        <v>#REF!</v>
      </c>
      <c r="CD3" t="e">
        <f>AND(#REF!,"AAAAABPz/1E=")</f>
        <v>#REF!</v>
      </c>
      <c r="CE3" t="e">
        <f>AND(#REF!,"AAAAABPz/1I=")</f>
        <v>#REF!</v>
      </c>
      <c r="CF3" t="e">
        <f>IF(#REF!,"AAAAABPz/1M=",0)</f>
        <v>#REF!</v>
      </c>
      <c r="CG3" t="e">
        <f>AND(#REF!,"AAAAABPz/1Q=")</f>
        <v>#REF!</v>
      </c>
      <c r="CH3" t="e">
        <f>AND(#REF!,"AAAAABPz/1U=")</f>
        <v>#REF!</v>
      </c>
      <c r="CI3" t="e">
        <f>AND(#REF!,"AAAAABPz/1Y=")</f>
        <v>#REF!</v>
      </c>
      <c r="CJ3" t="e">
        <f>AND(#REF!,"AAAAABPz/1c=")</f>
        <v>#REF!</v>
      </c>
      <c r="CK3" t="e">
        <f>AND(#REF!,"AAAAABPz/1g=")</f>
        <v>#REF!</v>
      </c>
      <c r="CL3" t="e">
        <f>AND(#REF!,"AAAAABPz/1k=")</f>
        <v>#REF!</v>
      </c>
      <c r="CM3" t="e">
        <f>IF(#REF!,"AAAAABPz/1o=",0)</f>
        <v>#REF!</v>
      </c>
      <c r="CN3" t="e">
        <f>AND(#REF!,"AAAAABPz/1s=")</f>
        <v>#REF!</v>
      </c>
      <c r="CO3" t="e">
        <f>AND(#REF!,"AAAAABPz/1w=")</f>
        <v>#REF!</v>
      </c>
      <c r="CP3" t="e">
        <f>AND(#REF!,"AAAAABPz/10=")</f>
        <v>#REF!</v>
      </c>
      <c r="CQ3" t="e">
        <f>AND(#REF!,"AAAAABPz/14=")</f>
        <v>#REF!</v>
      </c>
      <c r="CR3" t="e">
        <f>AND(#REF!,"AAAAABPz/18=")</f>
        <v>#REF!</v>
      </c>
      <c r="CS3" t="e">
        <f>AND(#REF!,"AAAAABPz/2A=")</f>
        <v>#REF!</v>
      </c>
      <c r="CT3" t="e">
        <f>IF(#REF!,"AAAAABPz/2E=",0)</f>
        <v>#REF!</v>
      </c>
      <c r="CU3" t="e">
        <f>AND(#REF!,"AAAAABPz/2I=")</f>
        <v>#REF!</v>
      </c>
      <c r="CV3" t="e">
        <f>AND(#REF!,"AAAAABPz/2M=")</f>
        <v>#REF!</v>
      </c>
      <c r="CW3" t="e">
        <f>AND(#REF!,"AAAAABPz/2Q=")</f>
        <v>#REF!</v>
      </c>
      <c r="CX3" t="e">
        <f>AND(#REF!,"AAAAABPz/2U=")</f>
        <v>#REF!</v>
      </c>
      <c r="CY3" t="e">
        <f>AND(#REF!,"AAAAABPz/2Y=")</f>
        <v>#REF!</v>
      </c>
      <c r="CZ3" t="e">
        <f>AND(#REF!,"AAAAABPz/2c=")</f>
        <v>#REF!</v>
      </c>
      <c r="DA3" t="e">
        <f>IF(#REF!,"AAAAABPz/2g=",0)</f>
        <v>#REF!</v>
      </c>
      <c r="DB3" t="e">
        <f>AND(#REF!,"AAAAABPz/2k=")</f>
        <v>#REF!</v>
      </c>
      <c r="DC3" t="e">
        <f>AND(#REF!,"AAAAABPz/2o=")</f>
        <v>#REF!</v>
      </c>
      <c r="DD3" t="e">
        <f>AND(#REF!,"AAAAABPz/2s=")</f>
        <v>#REF!</v>
      </c>
      <c r="DE3" t="e">
        <f>AND(#REF!,"AAAAABPz/2w=")</f>
        <v>#REF!</v>
      </c>
      <c r="DF3" t="e">
        <f>AND(#REF!,"AAAAABPz/20=")</f>
        <v>#REF!</v>
      </c>
      <c r="DG3" t="e">
        <f>AND(#REF!,"AAAAABPz/24=")</f>
        <v>#REF!</v>
      </c>
      <c r="DH3" t="e">
        <f>IF(#REF!,"AAAAABPz/28=",0)</f>
        <v>#REF!</v>
      </c>
      <c r="DI3" t="e">
        <f>AND(#REF!,"AAAAABPz/3A=")</f>
        <v>#REF!</v>
      </c>
      <c r="DJ3" t="e">
        <f>AND(#REF!,"AAAAABPz/3E=")</f>
        <v>#REF!</v>
      </c>
      <c r="DK3" t="e">
        <f>AND(#REF!,"AAAAABPz/3I=")</f>
        <v>#REF!</v>
      </c>
      <c r="DL3" t="e">
        <f>AND(#REF!,"AAAAABPz/3M=")</f>
        <v>#REF!</v>
      </c>
      <c r="DM3" t="e">
        <f>AND(#REF!,"AAAAABPz/3Q=")</f>
        <v>#REF!</v>
      </c>
      <c r="DN3" t="e">
        <f>AND(#REF!,"AAAAABPz/3U=")</f>
        <v>#REF!</v>
      </c>
      <c r="DO3" t="e">
        <f>IF(#REF!,"AAAAABPz/3Y=",0)</f>
        <v>#REF!</v>
      </c>
      <c r="DP3" t="e">
        <f>AND(#REF!,"AAAAABPz/3c=")</f>
        <v>#REF!</v>
      </c>
      <c r="DQ3" t="e">
        <f>AND(#REF!,"AAAAABPz/3g=")</f>
        <v>#REF!</v>
      </c>
      <c r="DR3" t="e">
        <f>AND(#REF!,"AAAAABPz/3k=")</f>
        <v>#REF!</v>
      </c>
      <c r="DS3" t="e">
        <f>AND(#REF!,"AAAAABPz/3o=")</f>
        <v>#REF!</v>
      </c>
      <c r="DT3" t="e">
        <f>AND(#REF!,"AAAAABPz/3s=")</f>
        <v>#REF!</v>
      </c>
      <c r="DU3" t="e">
        <f>IF(#REF!,"AAAAABPz/3w=",0)</f>
        <v>#REF!</v>
      </c>
      <c r="DV3" t="e">
        <f>IF(#REF!,"AAAAABPz/30=",0)</f>
        <v>#REF!</v>
      </c>
      <c r="DW3" t="e">
        <f>IF(#REF!,"AAAAABPz/34=",0)</f>
        <v>#REF!</v>
      </c>
      <c r="DX3" t="e">
        <f>IF(#REF!,"AAAAABPz/38=",0)</f>
        <v>#REF!</v>
      </c>
      <c r="DY3" t="e">
        <f>IF(#REF!,"AAAAABPz/4A=",0)</f>
        <v>#REF!</v>
      </c>
      <c r="DZ3" t="e">
        <f>IF(#REF!,"AAAAABPz/4E=",0)</f>
        <v>#REF!</v>
      </c>
      <c r="EA3" t="e">
        <f>IF(#REF!,"AAAAABPz/4I=",0)</f>
        <v>#REF!</v>
      </c>
      <c r="EB3">
        <f>IF('Author and Rec of Changes'!1:1,"AAAAABPz/4M=",0)</f>
        <v>0</v>
      </c>
      <c r="EC3" t="e">
        <f>AND('Author and Rec of Changes'!A1,"AAAAABPz/4Q=")</f>
        <v>#VALUE!</v>
      </c>
      <c r="ED3" t="e">
        <f>AND('Author and Rec of Changes'!B1,"AAAAABPz/4U=")</f>
        <v>#VALUE!</v>
      </c>
      <c r="EE3" t="e">
        <f>AND('Author and Rec of Changes'!C1,"AAAAABPz/4Y=")</f>
        <v>#VALUE!</v>
      </c>
      <c r="EF3" t="e">
        <f>AND('Author and Rec of Changes'!E1,"AAAAABPz/4c=")</f>
        <v>#VALUE!</v>
      </c>
      <c r="EG3" t="e">
        <f>AND('Author and Rec of Changes'!F1,"AAAAABPz/4g=")</f>
        <v>#VALUE!</v>
      </c>
      <c r="EH3" t="e">
        <f>AND('Author and Rec of Changes'!#REF!,"AAAAABPz/4k=")</f>
        <v>#REF!</v>
      </c>
      <c r="EI3" t="e">
        <f>IF('Author and Rec of Changes'!#REF!,"AAAAABPz/4o=",0)</f>
        <v>#REF!</v>
      </c>
      <c r="EJ3" t="e">
        <f>AND('Author and Rec of Changes'!#REF!,"AAAAABPz/4s=")</f>
        <v>#REF!</v>
      </c>
      <c r="EK3" t="e">
        <f>AND('Author and Rec of Changes'!#REF!,"AAAAABPz/4w=")</f>
        <v>#REF!</v>
      </c>
      <c r="EL3" t="e">
        <f>AND('Author and Rec of Changes'!#REF!,"AAAAABPz/40=")</f>
        <v>#REF!</v>
      </c>
      <c r="EM3" t="e">
        <f>AND('Author and Rec of Changes'!#REF!,"AAAAABPz/44=")</f>
        <v>#REF!</v>
      </c>
      <c r="EN3" t="e">
        <f>AND('Author and Rec of Changes'!#REF!,"AAAAABPz/48=")</f>
        <v>#REF!</v>
      </c>
      <c r="EO3" t="e">
        <f>AND('Author and Rec of Changes'!#REF!,"AAAAABPz/5A=")</f>
        <v>#REF!</v>
      </c>
      <c r="EP3">
        <f>IF('Author and Rec of Changes'!2:2,"AAAAABPz/5E=",0)</f>
        <v>0</v>
      </c>
      <c r="EQ3" t="e">
        <f>AND('Author and Rec of Changes'!A2,"AAAAABPz/5I=")</f>
        <v>#VALUE!</v>
      </c>
      <c r="ER3" t="e">
        <f>AND('Author and Rec of Changes'!B2,"AAAAABPz/5M=")</f>
        <v>#VALUE!</v>
      </c>
      <c r="ES3" t="e">
        <f>AND('Author and Rec of Changes'!C2,"AAAAABPz/5Q=")</f>
        <v>#VALUE!</v>
      </c>
      <c r="ET3" t="e">
        <f>AND('Author and Rec of Changes'!E2,"AAAAABPz/5U=")</f>
        <v>#VALUE!</v>
      </c>
      <c r="EU3" t="e">
        <f>AND('Author and Rec of Changes'!F2,"AAAAABPz/5Y=")</f>
        <v>#VALUE!</v>
      </c>
      <c r="EV3" t="e">
        <f>AND('Author and Rec of Changes'!#REF!,"AAAAABPz/5c=")</f>
        <v>#REF!</v>
      </c>
      <c r="EW3">
        <f>IF('Author and Rec of Changes'!3:3,"AAAAABPz/5g=",0)</f>
        <v>0</v>
      </c>
      <c r="EX3" t="e">
        <f>AND('Author and Rec of Changes'!A3,"AAAAABPz/5k=")</f>
        <v>#VALUE!</v>
      </c>
      <c r="EY3" t="e">
        <f>AND('Author and Rec of Changes'!B3,"AAAAABPz/5o=")</f>
        <v>#VALUE!</v>
      </c>
      <c r="EZ3" t="e">
        <f>AND('Author and Rec of Changes'!C3,"AAAAABPz/5s=")</f>
        <v>#VALUE!</v>
      </c>
      <c r="FA3" t="e">
        <f>AND('Author and Rec of Changes'!E3,"AAAAABPz/5w=")</f>
        <v>#VALUE!</v>
      </c>
      <c r="FB3" t="e">
        <f>AND('Author and Rec of Changes'!F3,"AAAAABPz/50=")</f>
        <v>#VALUE!</v>
      </c>
      <c r="FC3" t="e">
        <f>AND('Author and Rec of Changes'!#REF!,"AAAAABPz/54=")</f>
        <v>#REF!</v>
      </c>
      <c r="FD3" t="e">
        <f>IF('Author and Rec of Changes'!#REF!,"AAAAABPz/58=",0)</f>
        <v>#REF!</v>
      </c>
      <c r="FE3" t="e">
        <f>AND('Author and Rec of Changes'!#REF!,"AAAAABPz/6A=")</f>
        <v>#REF!</v>
      </c>
      <c r="FF3" t="e">
        <f>AND('Author and Rec of Changes'!#REF!,"AAAAABPz/6E=")</f>
        <v>#REF!</v>
      </c>
      <c r="FG3" t="e">
        <f>AND('Author and Rec of Changes'!#REF!,"AAAAABPz/6I=")</f>
        <v>#REF!</v>
      </c>
      <c r="FH3" t="e">
        <f>AND('Author and Rec of Changes'!#REF!,"AAAAABPz/6M=")</f>
        <v>#REF!</v>
      </c>
      <c r="FI3" t="e">
        <f>AND('Author and Rec of Changes'!#REF!,"AAAAABPz/6Q=")</f>
        <v>#REF!</v>
      </c>
      <c r="FJ3" t="e">
        <f>AND('Author and Rec of Changes'!#REF!,"AAAAABPz/6U=")</f>
        <v>#REF!</v>
      </c>
      <c r="FK3" t="e">
        <f>IF('Author and Rec of Changes'!#REF!,"AAAAABPz/6Y=",0)</f>
        <v>#REF!</v>
      </c>
      <c r="FL3" t="e">
        <f>AND('Author and Rec of Changes'!#REF!,"AAAAABPz/6c=")</f>
        <v>#REF!</v>
      </c>
      <c r="FM3" t="e">
        <f>AND('Author and Rec of Changes'!#REF!,"AAAAABPz/6g=")</f>
        <v>#REF!</v>
      </c>
      <c r="FN3" t="e">
        <f>AND('Author and Rec of Changes'!#REF!,"AAAAABPz/6k=")</f>
        <v>#REF!</v>
      </c>
      <c r="FO3" t="e">
        <f>AND('Author and Rec of Changes'!#REF!,"AAAAABPz/6o=")</f>
        <v>#REF!</v>
      </c>
      <c r="FP3" t="e">
        <f>AND('Author and Rec of Changes'!#REF!,"AAAAABPz/6s=")</f>
        <v>#REF!</v>
      </c>
      <c r="FQ3" t="e">
        <f>AND('Author and Rec of Changes'!#REF!,"AAAAABPz/6w=")</f>
        <v>#REF!</v>
      </c>
      <c r="FR3">
        <f>IF('Author and Rec of Changes'!4:4,"AAAAABPz/60=",0)</f>
        <v>0</v>
      </c>
      <c r="FS3" t="e">
        <f>AND('Author and Rec of Changes'!A4,"AAAAABPz/64=")</f>
        <v>#VALUE!</v>
      </c>
      <c r="FT3" t="e">
        <f>AND('Author and Rec of Changes'!B4,"AAAAABPz/68=")</f>
        <v>#VALUE!</v>
      </c>
      <c r="FU3" t="e">
        <f>AND('Author and Rec of Changes'!C4,"AAAAABPz/7A=")</f>
        <v>#VALUE!</v>
      </c>
      <c r="FV3" t="e">
        <f>AND('Author and Rec of Changes'!E4,"AAAAABPz/7E=")</f>
        <v>#VALUE!</v>
      </c>
      <c r="FW3" t="e">
        <f>AND('Author and Rec of Changes'!F4,"AAAAABPz/7I=")</f>
        <v>#VALUE!</v>
      </c>
      <c r="FX3" t="e">
        <f>AND('Author and Rec of Changes'!#REF!,"AAAAABPz/7M=")</f>
        <v>#REF!</v>
      </c>
      <c r="FY3" t="e">
        <f>IF('Author and Rec of Changes'!#REF!,"AAAAABPz/7Q=",0)</f>
        <v>#REF!</v>
      </c>
      <c r="FZ3" t="e">
        <f>AND('Author and Rec of Changes'!#REF!,"AAAAABPz/7U=")</f>
        <v>#REF!</v>
      </c>
      <c r="GA3" t="e">
        <f>AND('Author and Rec of Changes'!#REF!,"AAAAABPz/7Y=")</f>
        <v>#REF!</v>
      </c>
      <c r="GB3" t="e">
        <f>AND('Author and Rec of Changes'!#REF!,"AAAAABPz/7c=")</f>
        <v>#REF!</v>
      </c>
      <c r="GC3" t="e">
        <f>AND('Author and Rec of Changes'!#REF!,"AAAAABPz/7g=")</f>
        <v>#REF!</v>
      </c>
      <c r="GD3" t="e">
        <f>AND('Author and Rec of Changes'!#REF!,"AAAAABPz/7k=")</f>
        <v>#REF!</v>
      </c>
      <c r="GE3" t="e">
        <f>AND('Author and Rec of Changes'!#REF!,"AAAAABPz/7o=")</f>
        <v>#REF!</v>
      </c>
      <c r="GF3" t="e">
        <f>IF('Author and Rec of Changes'!#REF!,"AAAAABPz/7s=",0)</f>
        <v>#REF!</v>
      </c>
      <c r="GG3" t="e">
        <f>AND('Author and Rec of Changes'!#REF!,"AAAAABPz/7w=")</f>
        <v>#REF!</v>
      </c>
      <c r="GH3" t="e">
        <f>AND('Author and Rec of Changes'!#REF!,"AAAAABPz/70=")</f>
        <v>#REF!</v>
      </c>
      <c r="GI3" t="e">
        <f>AND('Author and Rec of Changes'!#REF!,"AAAAABPz/74=")</f>
        <v>#REF!</v>
      </c>
      <c r="GJ3" t="e">
        <f>AND('Author and Rec of Changes'!#REF!,"AAAAABPz/78=")</f>
        <v>#REF!</v>
      </c>
      <c r="GK3" t="e">
        <f>AND('Author and Rec of Changes'!#REF!,"AAAAABPz/8A=")</f>
        <v>#REF!</v>
      </c>
      <c r="GL3" t="e">
        <f>AND('Author and Rec of Changes'!#REF!,"AAAAABPz/8E=")</f>
        <v>#REF!</v>
      </c>
      <c r="GM3" t="e">
        <f>IF('Author and Rec of Changes'!#REF!,"AAAAABPz/8I=",0)</f>
        <v>#REF!</v>
      </c>
      <c r="GN3" t="e">
        <f>AND('Author and Rec of Changes'!#REF!,"AAAAABPz/8M=")</f>
        <v>#REF!</v>
      </c>
      <c r="GO3" t="e">
        <f>AND('Author and Rec of Changes'!#REF!,"AAAAABPz/8Q=")</f>
        <v>#REF!</v>
      </c>
      <c r="GP3" t="e">
        <f>AND('Author and Rec of Changes'!#REF!,"AAAAABPz/8U=")</f>
        <v>#REF!</v>
      </c>
      <c r="GQ3" t="e">
        <f>AND('Author and Rec of Changes'!#REF!,"AAAAABPz/8Y=")</f>
        <v>#REF!</v>
      </c>
      <c r="GR3" t="e">
        <f>AND('Author and Rec of Changes'!#REF!,"AAAAABPz/8c=")</f>
        <v>#REF!</v>
      </c>
      <c r="GS3" t="e">
        <f>AND('Author and Rec of Changes'!#REF!,"AAAAABPz/8g=")</f>
        <v>#REF!</v>
      </c>
      <c r="GT3" t="e">
        <f>IF('Author and Rec of Changes'!#REF!,"AAAAABPz/8k=",0)</f>
        <v>#REF!</v>
      </c>
      <c r="GU3" t="e">
        <f>AND('Author and Rec of Changes'!#REF!,"AAAAABPz/8o=")</f>
        <v>#REF!</v>
      </c>
      <c r="GV3" t="e">
        <f>AND('Author and Rec of Changes'!#REF!,"AAAAABPz/8s=")</f>
        <v>#REF!</v>
      </c>
      <c r="GW3" t="e">
        <f>AND('Author and Rec of Changes'!#REF!,"AAAAABPz/8w=")</f>
        <v>#REF!</v>
      </c>
      <c r="GX3" t="e">
        <f>AND('Author and Rec of Changes'!#REF!,"AAAAABPz/80=")</f>
        <v>#REF!</v>
      </c>
      <c r="GY3" t="e">
        <f>AND('Author and Rec of Changes'!#REF!,"AAAAABPz/84=")</f>
        <v>#REF!</v>
      </c>
      <c r="GZ3" t="e">
        <f>AND('Author and Rec of Changes'!#REF!,"AAAAABPz/88=")</f>
        <v>#REF!</v>
      </c>
      <c r="HA3" t="e">
        <f>IF('Author and Rec of Changes'!#REF!,"AAAAABPz/9A=",0)</f>
        <v>#REF!</v>
      </c>
      <c r="HB3" t="e">
        <f>AND('Author and Rec of Changes'!#REF!,"AAAAABPz/9E=")</f>
        <v>#REF!</v>
      </c>
      <c r="HC3" t="e">
        <f>AND('Author and Rec of Changes'!#REF!,"AAAAABPz/9I=")</f>
        <v>#REF!</v>
      </c>
      <c r="HD3" t="e">
        <f>AND('Author and Rec of Changes'!#REF!,"AAAAABPz/9M=")</f>
        <v>#REF!</v>
      </c>
      <c r="HE3" t="e">
        <f>AND('Author and Rec of Changes'!#REF!,"AAAAABPz/9Q=")</f>
        <v>#REF!</v>
      </c>
      <c r="HF3" t="e">
        <f>AND('Author and Rec of Changes'!#REF!,"AAAAABPz/9U=")</f>
        <v>#REF!</v>
      </c>
      <c r="HG3" t="e">
        <f>AND('Author and Rec of Changes'!#REF!,"AAAAABPz/9Y=")</f>
        <v>#REF!</v>
      </c>
      <c r="HH3" t="e">
        <f>IF('Author and Rec of Changes'!#REF!,"AAAAABPz/9c=",0)</f>
        <v>#REF!</v>
      </c>
      <c r="HI3" t="e">
        <f>AND('Author and Rec of Changes'!#REF!,"AAAAABPz/9g=")</f>
        <v>#REF!</v>
      </c>
      <c r="HJ3" t="e">
        <f>AND('Author and Rec of Changes'!#REF!,"AAAAABPz/9k=")</f>
        <v>#REF!</v>
      </c>
      <c r="HK3" t="e">
        <f>AND('Author and Rec of Changes'!#REF!,"AAAAABPz/9o=")</f>
        <v>#REF!</v>
      </c>
      <c r="HL3" t="e">
        <f>AND('Author and Rec of Changes'!#REF!,"AAAAABPz/9s=")</f>
        <v>#REF!</v>
      </c>
      <c r="HM3" t="e">
        <f>AND('Author and Rec of Changes'!#REF!,"AAAAABPz/9w=")</f>
        <v>#REF!</v>
      </c>
      <c r="HN3" t="e">
        <f>AND('Author and Rec of Changes'!#REF!,"AAAAABPz/90=")</f>
        <v>#REF!</v>
      </c>
      <c r="HO3" t="e">
        <f>IF('Author and Rec of Changes'!#REF!,"AAAAABPz/94=",0)</f>
        <v>#REF!</v>
      </c>
      <c r="HP3" t="e">
        <f>AND('Author and Rec of Changes'!#REF!,"AAAAABPz/98=")</f>
        <v>#REF!</v>
      </c>
      <c r="HQ3" t="e">
        <f>AND('Author and Rec of Changes'!#REF!,"AAAAABPz/+A=")</f>
        <v>#REF!</v>
      </c>
      <c r="HR3" t="e">
        <f>AND('Author and Rec of Changes'!#REF!,"AAAAABPz/+E=")</f>
        <v>#REF!</v>
      </c>
      <c r="HS3" t="e">
        <f>AND('Author and Rec of Changes'!#REF!,"AAAAABPz/+I=")</f>
        <v>#REF!</v>
      </c>
      <c r="HT3" t="e">
        <f>AND('Author and Rec of Changes'!#REF!,"AAAAABPz/+M=")</f>
        <v>#REF!</v>
      </c>
      <c r="HU3" t="e">
        <f>AND('Author and Rec of Changes'!#REF!,"AAAAABPz/+Q=")</f>
        <v>#REF!</v>
      </c>
      <c r="HV3">
        <f>IF('Author and Rec of Changes'!5:5,"AAAAABPz/+U=",0)</f>
        <v>0</v>
      </c>
      <c r="HW3" t="e">
        <f>AND('Author and Rec of Changes'!A5,"AAAAABPz/+Y=")</f>
        <v>#VALUE!</v>
      </c>
      <c r="HX3" t="e">
        <f>AND('Author and Rec of Changes'!B5,"AAAAABPz/+c=")</f>
        <v>#VALUE!</v>
      </c>
      <c r="HY3" t="e">
        <f>AND('Author and Rec of Changes'!C5,"AAAAABPz/+g=")</f>
        <v>#VALUE!</v>
      </c>
      <c r="HZ3" t="e">
        <f>AND('Author and Rec of Changes'!E5,"AAAAABPz/+k=")</f>
        <v>#VALUE!</v>
      </c>
      <c r="IA3" t="e">
        <f>AND('Author and Rec of Changes'!F5,"AAAAABPz/+o=")</f>
        <v>#VALUE!</v>
      </c>
      <c r="IB3" t="e">
        <f>AND('Author and Rec of Changes'!#REF!,"AAAAABPz/+s=")</f>
        <v>#REF!</v>
      </c>
      <c r="IC3" t="e">
        <f>IF('Author and Rec of Changes'!#REF!,"AAAAABPz/+w=",0)</f>
        <v>#REF!</v>
      </c>
      <c r="ID3" t="e">
        <f>AND('Author and Rec of Changes'!#REF!,"AAAAABPz/+0=")</f>
        <v>#REF!</v>
      </c>
      <c r="IE3" t="e">
        <f>AND('Author and Rec of Changes'!#REF!,"AAAAABPz/+4=")</f>
        <v>#REF!</v>
      </c>
      <c r="IF3" t="e">
        <f>AND('Author and Rec of Changes'!#REF!,"AAAAABPz/+8=")</f>
        <v>#REF!</v>
      </c>
      <c r="IG3" t="e">
        <f>AND('Author and Rec of Changes'!#REF!,"AAAAABPz//A=")</f>
        <v>#REF!</v>
      </c>
      <c r="IH3" t="e">
        <f>AND('Author and Rec of Changes'!#REF!,"AAAAABPz//E=")</f>
        <v>#REF!</v>
      </c>
      <c r="II3" t="e">
        <f>AND('Author and Rec of Changes'!#REF!,"AAAAABPz//I=")</f>
        <v>#REF!</v>
      </c>
      <c r="IJ3" t="e">
        <f>IF('Author and Rec of Changes'!#REF!,"AAAAABPz//M=",0)</f>
        <v>#REF!</v>
      </c>
      <c r="IK3" t="e">
        <f>AND('Author and Rec of Changes'!#REF!,"AAAAABPz//Q=")</f>
        <v>#REF!</v>
      </c>
      <c r="IL3" t="e">
        <f>AND('Author and Rec of Changes'!#REF!,"AAAAABPz//U=")</f>
        <v>#REF!</v>
      </c>
      <c r="IM3" t="e">
        <f>AND('Author and Rec of Changes'!#REF!,"AAAAABPz//Y=")</f>
        <v>#REF!</v>
      </c>
      <c r="IN3" t="e">
        <f>AND('Author and Rec of Changes'!#REF!,"AAAAABPz//c=")</f>
        <v>#REF!</v>
      </c>
      <c r="IO3" t="e">
        <f>AND('Author and Rec of Changes'!#REF!,"AAAAABPz//g=")</f>
        <v>#REF!</v>
      </c>
      <c r="IP3" t="e">
        <f>AND('Author and Rec of Changes'!#REF!,"AAAAABPz//k=")</f>
        <v>#REF!</v>
      </c>
      <c r="IQ3">
        <f>IF('Author and Rec of Changes'!6:6,"AAAAABPz//o=",0)</f>
        <v>0</v>
      </c>
      <c r="IR3" t="e">
        <f>AND('Author and Rec of Changes'!A6,"AAAAABPz//s=")</f>
        <v>#VALUE!</v>
      </c>
      <c r="IS3" t="e">
        <f>AND('Author and Rec of Changes'!B6,"AAAAABPz//w=")</f>
        <v>#VALUE!</v>
      </c>
      <c r="IT3" t="e">
        <f>AND('Author and Rec of Changes'!C6,"AAAAABPz//0=")</f>
        <v>#VALUE!</v>
      </c>
      <c r="IU3" t="e">
        <f>AND('Author and Rec of Changes'!E6,"AAAAABPz//4=")</f>
        <v>#VALUE!</v>
      </c>
      <c r="IV3" t="e">
        <f>AND('Author and Rec of Changes'!F6,"AAAAABPz//8=")</f>
        <v>#VALUE!</v>
      </c>
    </row>
    <row r="4" spans="1:256" ht="14.45">
      <c r="A4" t="e">
        <f>AND('Author and Rec of Changes'!#REF!,"AAAAAH/rVAA=")</f>
        <v>#REF!</v>
      </c>
      <c r="B4">
        <f>IF('Author and Rec of Changes'!7:7,"AAAAAH/rVAE=",0)</f>
        <v>0</v>
      </c>
      <c r="C4" t="e">
        <f>AND('Author and Rec of Changes'!A7,"AAAAAH/rVAI=")</f>
        <v>#VALUE!</v>
      </c>
      <c r="D4" t="e">
        <f>AND('Author and Rec of Changes'!B7,"AAAAAH/rVAM=")</f>
        <v>#VALUE!</v>
      </c>
      <c r="E4" t="e">
        <f>AND('Author and Rec of Changes'!C7,"AAAAAH/rVAQ=")</f>
        <v>#VALUE!</v>
      </c>
      <c r="F4" t="e">
        <f>AND('Author and Rec of Changes'!E7,"AAAAAH/rVAU=")</f>
        <v>#VALUE!</v>
      </c>
      <c r="G4" t="e">
        <f>AND('Author and Rec of Changes'!F7,"AAAAAH/rVAY=")</f>
        <v>#VALUE!</v>
      </c>
      <c r="H4" t="e">
        <f>AND('Author and Rec of Changes'!#REF!,"AAAAAH/rVAc=")</f>
        <v>#REF!</v>
      </c>
      <c r="I4">
        <f>IF('Author and Rec of Changes'!8:8,"AAAAAH/rVAg=",0)</f>
        <v>0</v>
      </c>
      <c r="J4" t="e">
        <f>AND('Author and Rec of Changes'!A8,"AAAAAH/rVAk=")</f>
        <v>#VALUE!</v>
      </c>
      <c r="K4" t="e">
        <f>AND('Author and Rec of Changes'!B8,"AAAAAH/rVAo=")</f>
        <v>#VALUE!</v>
      </c>
      <c r="L4" t="e">
        <f>AND('Author and Rec of Changes'!C8,"AAAAAH/rVAs=")</f>
        <v>#VALUE!</v>
      </c>
      <c r="M4" t="e">
        <f>AND('Author and Rec of Changes'!E8,"AAAAAH/rVAw=")</f>
        <v>#VALUE!</v>
      </c>
      <c r="N4" t="e">
        <f>AND('Author and Rec of Changes'!F8,"AAAAAH/rVA0=")</f>
        <v>#VALUE!</v>
      </c>
      <c r="O4" t="e">
        <f>AND('Author and Rec of Changes'!#REF!,"AAAAAH/rVA4=")</f>
        <v>#REF!</v>
      </c>
      <c r="P4">
        <f>IF('Author and Rec of Changes'!9:9,"AAAAAH/rVA8=",0)</f>
        <v>0</v>
      </c>
      <c r="Q4" t="e">
        <f>AND('Author and Rec of Changes'!A9,"AAAAAH/rVBA=")</f>
        <v>#VALUE!</v>
      </c>
      <c r="R4" t="e">
        <f>AND('Author and Rec of Changes'!B9,"AAAAAH/rVBE=")</f>
        <v>#VALUE!</v>
      </c>
      <c r="S4" t="e">
        <f>AND('Author and Rec of Changes'!C9,"AAAAAH/rVBI=")</f>
        <v>#VALUE!</v>
      </c>
      <c r="T4" t="e">
        <f>AND('Author and Rec of Changes'!E9,"AAAAAH/rVBM=")</f>
        <v>#VALUE!</v>
      </c>
      <c r="U4" t="e">
        <f>AND('Author and Rec of Changes'!F9,"AAAAAH/rVBQ=")</f>
        <v>#VALUE!</v>
      </c>
      <c r="V4" t="e">
        <f>AND('Author and Rec of Changes'!#REF!,"AAAAAH/rVBU=")</f>
        <v>#REF!</v>
      </c>
      <c r="W4">
        <f>IF('Author and Rec of Changes'!10:10,"AAAAAH/rVBY=",0)</f>
        <v>0</v>
      </c>
      <c r="X4">
        <f>IF('Author and Rec of Changes'!11:11,"AAAAAH/rVBc=",0)</f>
        <v>0</v>
      </c>
      <c r="Y4">
        <f>IF('Author and Rec of Changes'!12:12,"AAAAAH/rVBg=",0)</f>
        <v>0</v>
      </c>
      <c r="Z4">
        <f>IF('Author and Rec of Changes'!13:13,"AAAAAH/rVBk=",0)</f>
        <v>0</v>
      </c>
      <c r="AA4">
        <f>IF('Author and Rec of Changes'!14:14,"AAAAAH/rVBo=",0)</f>
        <v>0</v>
      </c>
      <c r="AB4">
        <f>IF('Author and Rec of Changes'!15:15,"AAAAAH/rVBs=",0)</f>
        <v>0</v>
      </c>
      <c r="AC4">
        <f>IF('Author and Rec of Changes'!16:16,"AAAAAH/rVBw=",0)</f>
        <v>0</v>
      </c>
      <c r="AD4">
        <f>IF('Author and Rec of Changes'!A:A,"AAAAAH/rVB0=",0)</f>
        <v>0</v>
      </c>
      <c r="AE4" t="e">
        <f>IF('Author and Rec of Changes'!B:B,"AAAAAH/rVB4=",0)</f>
        <v>#VALUE!</v>
      </c>
      <c r="AF4">
        <f>IF('Author and Rec of Changes'!C:C,"AAAAAH/rVB8=",0)</f>
        <v>0</v>
      </c>
      <c r="AG4">
        <f>IF('Author and Rec of Changes'!E:E,"AAAAAH/rVCA=",0)</f>
        <v>0</v>
      </c>
      <c r="AH4">
        <f>IF('Author and Rec of Changes'!F:F,"AAAAAH/rVCE=",0)</f>
        <v>0</v>
      </c>
      <c r="AI4" t="e">
        <f>IF(_xlfn.SINGLE('Author and Rec of Changes'!#REF!),"AAAAAH/rVCI=",0)</f>
        <v>#REF!</v>
      </c>
      <c r="AJ4" t="s">
        <v>198</v>
      </c>
      <c r="AK4" s="29" t="s">
        <v>199</v>
      </c>
      <c r="AL4" s="30" t="s">
        <v>200</v>
      </c>
      <c r="AM4" t="e">
        <f>IF("N",Excel_BuiltIn__FilterDatabase,"AAAAAH/rVCY=")</f>
        <v>#VALUE!</v>
      </c>
    </row>
    <row r="5" spans="1:256">
      <c r="A5" t="e">
        <f>AND(CourseTitle_Syllabus!A1,"AAAAACvx+wA=")</f>
        <v>#VALUE!</v>
      </c>
      <c r="B5" t="e">
        <f>IF(CourseTitle_Syllabus!#REF!,"AAAAACvx+wE=",0)</f>
        <v>#REF!</v>
      </c>
      <c r="C5" t="e">
        <f>AND(CourseTitle_Syllabus!#REF!,"AAAAACvx+wI=")</f>
        <v>#REF!</v>
      </c>
      <c r="D5" t="e">
        <f>AND(CourseTitle_Syllabus!#REF!,"AAAAACvx+wM=")</f>
        <v>#REF!</v>
      </c>
      <c r="E5" t="e">
        <f>AND(CourseTitle_Syllabus!#REF!,"AAAAACvx+wQ=")</f>
        <v>#REF!</v>
      </c>
      <c r="F5" t="e">
        <f>AND(CourseTitle_Syllabus!#REF!,"AAAAACvx+wU=")</f>
        <v>#REF!</v>
      </c>
      <c r="G5" t="e">
        <f>AND(CourseTitle_Syllabus!#REF!,"AAAAACvx+wY=")</f>
        <v>#REF!</v>
      </c>
      <c r="H5" t="e">
        <f>AND(CourseTitle_Syllabus!#REF!,"AAAAACvx+wc=")</f>
        <v>#REF!</v>
      </c>
      <c r="I5" t="e">
        <f>AND(CourseTitle_Syllabus!#REF!,"AAAAACvx+wg=")</f>
        <v>#REF!</v>
      </c>
      <c r="J5">
        <f>IF(CourseTitle_Syllabus!3:3,"AAAAACvx+wk=",0)</f>
        <v>0</v>
      </c>
      <c r="K5" t="e">
        <f>AND(CourseTitle_Syllabus!A3,"AAAAACvx+wo=")</f>
        <v>#VALUE!</v>
      </c>
      <c r="L5" t="e">
        <f>AND(CourseTitle_Syllabus!B3,"AAAAACvx+ws=")</f>
        <v>#VALUE!</v>
      </c>
      <c r="M5" t="e">
        <f>AND(CourseTitle_Syllabus!C3,"AAAAACvx+ww=")</f>
        <v>#VALUE!</v>
      </c>
      <c r="N5" t="e">
        <f>AND(CourseTitle_Syllabus!D3,"AAAAACvx+w0=")</f>
        <v>#VALUE!</v>
      </c>
      <c r="O5" t="e">
        <f>AND(CourseTitle_Syllabus!E3,"AAAAACvx+w4=")</f>
        <v>#VALUE!</v>
      </c>
      <c r="P5" t="e">
        <f>AND(CourseTitle_Syllabus!F3,"AAAAACvx+w8=")</f>
        <v>#VALUE!</v>
      </c>
      <c r="Q5" t="e">
        <f>AND(CourseTitle_Syllabus!G3,"AAAAACvx+xA=")</f>
        <v>#VALUE!</v>
      </c>
    </row>
  </sheetData>
  <sheetProtection selectLockedCells="1" selectUnlockedCells="1"/>
  <phoneticPr fontId="23"/>
  <pageMargins left="0.70000000000000007" right="0.70000000000000007" top="0.75" bottom="0.75" header="0.51181102362204722" footer="0.51181102362204722"/>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Pham Huu Khang (CTC.TOD.SG)</dc:creator>
  <cp:keywords/>
  <dc:description/>
  <cp:lastModifiedBy>Chau Pham Minh</cp:lastModifiedBy>
  <cp:revision/>
  <dcterms:created xsi:type="dcterms:W3CDTF">2023-07-14T03:04:52Z</dcterms:created>
  <dcterms:modified xsi:type="dcterms:W3CDTF">2024-09-17T07:49:48Z</dcterms:modified>
  <cp:category/>
  <cp:contentStatus/>
</cp:coreProperties>
</file>