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Shared drives\Ice-ocean-interactions\engineering\IceLander - Kyle\repos\IceLander-Power-test-pcb\"/>
    </mc:Choice>
  </mc:AlternateContent>
  <xr:revisionPtr revIDLastSave="0" documentId="13_ncr:1_{AA721735-BBDE-4F35-96C7-78B1B8B911BF}" xr6:coauthVersionLast="45" xr6:coauthVersionMax="45" xr10:uidLastSave="{00000000-0000-0000-0000-000000000000}"/>
  <workbookProtection workbookPassword="E1A4" lockStructure="1"/>
  <bookViews>
    <workbookView xWindow="-120" yWindow="-120" windowWidth="29040" windowHeight="1599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Variable_Management!$B$129</definedName>
    <definedName name="CCOMP">Variable_Management!$B$170</definedName>
    <definedName name="CComp_calc">Variable_Management!$B$169</definedName>
    <definedName name="CHF">Variable_Management!$B$172</definedName>
    <definedName name="Comp_calc">Variable_Management!$B$169</definedName>
    <definedName name="Cout">Variable_Management!$B$95</definedName>
    <definedName name="Cout_min">Variable_Management!$B$93</definedName>
    <definedName name="D_limit_max">Constants!$B$18</definedName>
    <definedName name="D_limit_min">Constants!$B$16</definedName>
    <definedName name="D_limit_nom">Constants!$B$17</definedName>
    <definedName name="Dc_max_IC">Variable_Management!$B$20</definedName>
    <definedName name="Dc_max_ideal">Variable_Management!$A$19</definedName>
    <definedName name="Dc_rip_max">Variable_Management!$B$43</definedName>
    <definedName name="Dc_VIN_max">Variable_Management!$B$30</definedName>
    <definedName name="Dc_VIN_min">Variable_Management!$B$22</definedName>
    <definedName name="Dc_VIN_nom">Variable_Management!$B$26</definedName>
    <definedName name="EFF_est">Variable_Management!$B$17</definedName>
    <definedName name="Eff_vs_IOUT">Plot_Management_Eff!$C$3</definedName>
    <definedName name="fcross">Variable_Management!$B$153</definedName>
    <definedName name="fcross_est">Variable_Management!$B$152</definedName>
    <definedName name="fp_ea_est">Variable_Management!$B$163</definedName>
    <definedName name="Fsw">Variable_Management!$B$10</definedName>
    <definedName name="fz_ea_est">Variable_Management!$B$161</definedName>
    <definedName name="fz_rhp">Variable_Management!$B$138</definedName>
    <definedName name="Gcomp">Constants!$B$29</definedName>
    <definedName name="Gea_mid_calc">Variable_Management!$B$157</definedName>
    <definedName name="gfs">Variable_Management!$B$189</definedName>
    <definedName name="gm_ea">Constants!$B$34</definedName>
    <definedName name="Gplant_fc_dB">Loop_Modeling!$AD$7</definedName>
    <definedName name="IIN_33">Variable_Management!$B$45</definedName>
    <definedName name="IL_avg_VIN_max">Variable_Management!$B$32</definedName>
    <definedName name="IL_avg_VIN_min">Variable_Management!$B$24</definedName>
    <definedName name="IL_avg_VIN_nom">Variable_Management!$B$28</definedName>
    <definedName name="IL_pk">Variable_Management!$B$82</definedName>
    <definedName name="IL_pk_max">Variable_Management!$B$83</definedName>
    <definedName name="ILp_VINmax">Variable_Management!$B$59</definedName>
    <definedName name="ILp_VINmin">Variable_Management!$B$53</definedName>
    <definedName name="ILp_VINnom">Variable_Management!$B$56</definedName>
    <definedName name="ILrip">Variable_Management!$B$35</definedName>
    <definedName name="ILrip_VINmax">Variable_Management!$B$58</definedName>
    <definedName name="ILrip_VINmin">Variable_Management!$B$52</definedName>
    <definedName name="ILrip_VINnom">Variable_Management!$B$55</definedName>
    <definedName name="IOUT">Variable_Management!$B$14</definedName>
    <definedName name="Ipk_margin">Variable_Management!$B$62</definedName>
    <definedName name="Ipk_selected">Variable_Management!$B$63</definedName>
    <definedName name="IQ">Constants!$B$48</definedName>
    <definedName name="IRMS_COUT">Variable_Management!$B$94</definedName>
    <definedName name="Isl">Constants!$B$25</definedName>
    <definedName name="Iss">Constants!$B$37</definedName>
    <definedName name="Kslope">Variable_Management!$B$70</definedName>
    <definedName name="Lm">Variable_Management!$B$48</definedName>
    <definedName name="Lopt">Variable_Management!$B$40</definedName>
    <definedName name="Lopt_2">Variable_Management!$B$46</definedName>
    <definedName name="POUT">Variable_Management!$B$16</definedName>
    <definedName name="_xlnm.Print_Area" localSheetId="0">'Design Converter'!$A$1:$Z$99</definedName>
    <definedName name="Q">Loop_Modeling!$B$48</definedName>
    <definedName name="Q_VINmin">Variable_Management!$B$146</definedName>
    <definedName name="Qg_tot">Variable_Management!$B$184</definedName>
    <definedName name="Qgd">Variable_Management!$B$185</definedName>
    <definedName name="Qgs">Variable_Management!$B$186</definedName>
    <definedName name="Qrr">Variable_Management!$B$179</definedName>
    <definedName name="R_cs">Variable_Management!$B$78</definedName>
    <definedName name="R_sl">Variable_Management!$B$79</definedName>
    <definedName name="RCOMP">Variable_Management!$B$168</definedName>
    <definedName name="Rcomp_calc">Variable_Management!$B$167</definedName>
    <definedName name="Rcs_max">Variable_Management!$B$67</definedName>
    <definedName name="Rcs_w_sl">Variable_Management!$B$71</definedName>
    <definedName name="Rcs_wo_sl">Variable_Management!$B$68</definedName>
    <definedName name="Rdcr">Variable_Management!$B$49</definedName>
    <definedName name="RDS_on">Variable_Management!$B$183</definedName>
    <definedName name="Resr">Variable_Management!$B$96</definedName>
    <definedName name="RFBB">Variable_Management!$B$124</definedName>
    <definedName name="RFBB_calc">Variable_Management!$B$123</definedName>
    <definedName name="RFBT">Variable_Management!$B$122</definedName>
    <definedName name="Rgate">Variable_Management!$B$187</definedName>
    <definedName name="ROUT">Variable_Management!$B$15</definedName>
    <definedName name="Rsl_int">Constants!$B$26</definedName>
    <definedName name="RT">Variable_Management!$B$11</definedName>
    <definedName name="Ruvlo_bottom_calc">Variable_Management!$B$113</definedName>
    <definedName name="Ruvlo_top">Variable_Management!$B$112</definedName>
    <definedName name="Ruvlo_top_calc">Variable_Management!$B$111</definedName>
    <definedName name="SCH_1">Plot_Management_Sch!$B$2</definedName>
    <definedName name="Se_VINmin">Variable_Management!$B$142</definedName>
    <definedName name="Sn_VINmin">Variable_Management!$B$143</definedName>
    <definedName name="tf_sw">Variable_Management!$B$196</definedName>
    <definedName name="tr_sw">Variable_Management!$B$195</definedName>
    <definedName name="tss">Variable_Management!$B$102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Variable_Management!$B$178</definedName>
    <definedName name="VIN_33">Variable_Management!$B$44</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Variable_Management!$B$8</definedName>
    <definedName name="VOUT">Variable_Management!$B$13</definedName>
    <definedName name="Vout_rip_sel">Variable_Management!$B$92</definedName>
    <definedName name="Vref">Constants!$B$33</definedName>
    <definedName name="Vth">Variable_Management!$B$190</definedName>
    <definedName name="Vuvlo_off">Variable_Management!$B$107</definedName>
    <definedName name="Vuvlo_on">Variable_Management!$B$106</definedName>
    <definedName name="wp_lf">Loop_Modeling!$B$35</definedName>
    <definedName name="wp_lf_VINmin">Variable_Management!$B$131</definedName>
    <definedName name="wp0_ea">Loop_Modeling!$B$60</definedName>
    <definedName name="wp1_ea">Loop_Modeling!$B$61</definedName>
    <definedName name="wsl">Loop_Modeling!$B$47</definedName>
    <definedName name="wsl_VINmin">Variable_Management!$B$145</definedName>
    <definedName name="wz_ea">Loop_Modeling!$B$59</definedName>
    <definedName name="wz_esr">Loop_Modeling!$B$41</definedName>
    <definedName name="wz_esr_VINmin">Variable_Management!$B$134</definedName>
    <definedName name="wz_rhp">Loop_Modeling!$B$38</definedName>
    <definedName name="wz_RHP_VINmin">Variable_Management!$B$137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8" l="1"/>
  <c r="B4" i="8"/>
  <c r="B3" i="8"/>
  <c r="B2" i="6"/>
  <c r="B48" i="3"/>
  <c r="B42" i="3"/>
  <c r="B37" i="3"/>
  <c r="B34" i="3"/>
  <c r="B29" i="3"/>
  <c r="B27" i="3"/>
  <c r="B25" i="3"/>
  <c r="B22" i="3"/>
  <c r="B20" i="3"/>
  <c r="B19" i="3"/>
  <c r="B14" i="3"/>
  <c r="B12" i="3"/>
  <c r="B10" i="3"/>
  <c r="AB560" i="5"/>
  <c r="AA560" i="5"/>
  <c r="Z560" i="5"/>
  <c r="Y560" i="5"/>
  <c r="X560" i="5"/>
  <c r="W560" i="5"/>
  <c r="P560" i="5"/>
  <c r="O560" i="5"/>
  <c r="AB559" i="5"/>
  <c r="AA559" i="5"/>
  <c r="Z559" i="5"/>
  <c r="Y559" i="5"/>
  <c r="X559" i="5"/>
  <c r="W559" i="5"/>
  <c r="P559" i="5"/>
  <c r="O559" i="5"/>
  <c r="AB558" i="5"/>
  <c r="AA558" i="5"/>
  <c r="Z558" i="5"/>
  <c r="Y558" i="5"/>
  <c r="X558" i="5"/>
  <c r="W558" i="5"/>
  <c r="P558" i="5"/>
  <c r="O558" i="5"/>
  <c r="AB557" i="5"/>
  <c r="AA557" i="5"/>
  <c r="Z557" i="5"/>
  <c r="Y557" i="5"/>
  <c r="X557" i="5"/>
  <c r="W557" i="5"/>
  <c r="P557" i="5"/>
  <c r="O557" i="5"/>
  <c r="AB556" i="5"/>
  <c r="AA556" i="5"/>
  <c r="Z556" i="5"/>
  <c r="Y556" i="5"/>
  <c r="X556" i="5"/>
  <c r="W556" i="5"/>
  <c r="P556" i="5"/>
  <c r="O556" i="5"/>
  <c r="AB555" i="5"/>
  <c r="AA555" i="5"/>
  <c r="Z555" i="5"/>
  <c r="Y555" i="5"/>
  <c r="X555" i="5"/>
  <c r="W555" i="5"/>
  <c r="P555" i="5"/>
  <c r="O555" i="5"/>
  <c r="AB554" i="5"/>
  <c r="AA554" i="5"/>
  <c r="Z554" i="5"/>
  <c r="Y554" i="5"/>
  <c r="X554" i="5"/>
  <c r="W554" i="5"/>
  <c r="P554" i="5"/>
  <c r="O554" i="5"/>
  <c r="AB553" i="5"/>
  <c r="AA553" i="5"/>
  <c r="Z553" i="5"/>
  <c r="Y553" i="5"/>
  <c r="X553" i="5"/>
  <c r="W553" i="5"/>
  <c r="P553" i="5"/>
  <c r="O553" i="5"/>
  <c r="AB552" i="5"/>
  <c r="AA552" i="5"/>
  <c r="Z552" i="5"/>
  <c r="Y552" i="5"/>
  <c r="X552" i="5"/>
  <c r="W552" i="5"/>
  <c r="P552" i="5"/>
  <c r="O552" i="5"/>
  <c r="AB551" i="5"/>
  <c r="AA551" i="5"/>
  <c r="Z551" i="5"/>
  <c r="Y551" i="5"/>
  <c r="X551" i="5"/>
  <c r="W551" i="5"/>
  <c r="P551" i="5"/>
  <c r="O551" i="5"/>
  <c r="AB550" i="5"/>
  <c r="AA550" i="5"/>
  <c r="Z550" i="5"/>
  <c r="Y550" i="5"/>
  <c r="X550" i="5"/>
  <c r="W550" i="5"/>
  <c r="P550" i="5"/>
  <c r="O550" i="5"/>
  <c r="AB549" i="5"/>
  <c r="AA549" i="5"/>
  <c r="Z549" i="5"/>
  <c r="Y549" i="5"/>
  <c r="X549" i="5"/>
  <c r="W549" i="5"/>
  <c r="P549" i="5"/>
  <c r="O549" i="5"/>
  <c r="AB548" i="5"/>
  <c r="AA548" i="5"/>
  <c r="Z548" i="5"/>
  <c r="Y548" i="5"/>
  <c r="X548" i="5"/>
  <c r="W548" i="5"/>
  <c r="P548" i="5"/>
  <c r="O548" i="5"/>
  <c r="AB547" i="5"/>
  <c r="AA547" i="5"/>
  <c r="Z547" i="5"/>
  <c r="Y547" i="5"/>
  <c r="X547" i="5"/>
  <c r="W547" i="5"/>
  <c r="P547" i="5"/>
  <c r="O547" i="5"/>
  <c r="AB546" i="5"/>
  <c r="AA546" i="5"/>
  <c r="Z546" i="5"/>
  <c r="Y546" i="5"/>
  <c r="X546" i="5"/>
  <c r="W546" i="5"/>
  <c r="P546" i="5"/>
  <c r="O546" i="5"/>
  <c r="AB545" i="5"/>
  <c r="AA545" i="5"/>
  <c r="Z545" i="5"/>
  <c r="Y545" i="5"/>
  <c r="X545" i="5"/>
  <c r="W545" i="5"/>
  <c r="P545" i="5"/>
  <c r="O545" i="5"/>
  <c r="AB544" i="5"/>
  <c r="AA544" i="5"/>
  <c r="Z544" i="5"/>
  <c r="Y544" i="5"/>
  <c r="X544" i="5"/>
  <c r="W544" i="5"/>
  <c r="P544" i="5"/>
  <c r="O544" i="5"/>
  <c r="AB543" i="5"/>
  <c r="AA543" i="5"/>
  <c r="Z543" i="5"/>
  <c r="Y543" i="5"/>
  <c r="X543" i="5"/>
  <c r="W543" i="5"/>
  <c r="P543" i="5"/>
  <c r="O543" i="5"/>
  <c r="AB542" i="5"/>
  <c r="AA542" i="5"/>
  <c r="Z542" i="5"/>
  <c r="Y542" i="5"/>
  <c r="X542" i="5"/>
  <c r="W542" i="5"/>
  <c r="P542" i="5"/>
  <c r="O542" i="5"/>
  <c r="AB541" i="5"/>
  <c r="AA541" i="5"/>
  <c r="Z541" i="5"/>
  <c r="Y541" i="5"/>
  <c r="X541" i="5"/>
  <c r="W541" i="5"/>
  <c r="P541" i="5"/>
  <c r="O541" i="5"/>
  <c r="AB540" i="5"/>
  <c r="AA540" i="5"/>
  <c r="Z540" i="5"/>
  <c r="Y540" i="5"/>
  <c r="X540" i="5"/>
  <c r="W540" i="5"/>
  <c r="P540" i="5"/>
  <c r="O540" i="5"/>
  <c r="AB539" i="5"/>
  <c r="AA539" i="5"/>
  <c r="Z539" i="5"/>
  <c r="Y539" i="5"/>
  <c r="X539" i="5"/>
  <c r="W539" i="5"/>
  <c r="P539" i="5"/>
  <c r="O539" i="5"/>
  <c r="AB538" i="5"/>
  <c r="AA538" i="5"/>
  <c r="Z538" i="5"/>
  <c r="Y538" i="5"/>
  <c r="X538" i="5"/>
  <c r="W538" i="5"/>
  <c r="P538" i="5"/>
  <c r="O538" i="5"/>
  <c r="AB537" i="5"/>
  <c r="AA537" i="5"/>
  <c r="Z537" i="5"/>
  <c r="Y537" i="5"/>
  <c r="X537" i="5"/>
  <c r="W537" i="5"/>
  <c r="P537" i="5"/>
  <c r="O537" i="5"/>
  <c r="AB536" i="5"/>
  <c r="AA536" i="5"/>
  <c r="Z536" i="5"/>
  <c r="Y536" i="5"/>
  <c r="X536" i="5"/>
  <c r="W536" i="5"/>
  <c r="P536" i="5"/>
  <c r="O536" i="5"/>
  <c r="AB535" i="5"/>
  <c r="AA535" i="5"/>
  <c r="Z535" i="5"/>
  <c r="Y535" i="5"/>
  <c r="X535" i="5"/>
  <c r="W535" i="5"/>
  <c r="P535" i="5"/>
  <c r="O535" i="5"/>
  <c r="AB534" i="5"/>
  <c r="AA534" i="5"/>
  <c r="Z534" i="5"/>
  <c r="Y534" i="5"/>
  <c r="X534" i="5"/>
  <c r="W534" i="5"/>
  <c r="P534" i="5"/>
  <c r="O534" i="5"/>
  <c r="AB533" i="5"/>
  <c r="AA533" i="5"/>
  <c r="Z533" i="5"/>
  <c r="Y533" i="5"/>
  <c r="X533" i="5"/>
  <c r="W533" i="5"/>
  <c r="P533" i="5"/>
  <c r="O533" i="5"/>
  <c r="AB532" i="5"/>
  <c r="AA532" i="5"/>
  <c r="Z532" i="5"/>
  <c r="Y532" i="5"/>
  <c r="X532" i="5"/>
  <c r="W532" i="5"/>
  <c r="P532" i="5"/>
  <c r="O532" i="5"/>
  <c r="AB531" i="5"/>
  <c r="AA531" i="5"/>
  <c r="Z531" i="5"/>
  <c r="Y531" i="5"/>
  <c r="X531" i="5"/>
  <c r="W531" i="5"/>
  <c r="P531" i="5"/>
  <c r="O531" i="5"/>
  <c r="AB530" i="5"/>
  <c r="AA530" i="5"/>
  <c r="Z530" i="5"/>
  <c r="Y530" i="5"/>
  <c r="X530" i="5"/>
  <c r="W530" i="5"/>
  <c r="P530" i="5"/>
  <c r="O530" i="5"/>
  <c r="AB529" i="5"/>
  <c r="AA529" i="5"/>
  <c r="Z529" i="5"/>
  <c r="Y529" i="5"/>
  <c r="X529" i="5"/>
  <c r="W529" i="5"/>
  <c r="P529" i="5"/>
  <c r="O529" i="5"/>
  <c r="AB528" i="5"/>
  <c r="AA528" i="5"/>
  <c r="Z528" i="5"/>
  <c r="Y528" i="5"/>
  <c r="X528" i="5"/>
  <c r="W528" i="5"/>
  <c r="P528" i="5"/>
  <c r="O528" i="5"/>
  <c r="AB527" i="5"/>
  <c r="AA527" i="5"/>
  <c r="Z527" i="5"/>
  <c r="Y527" i="5"/>
  <c r="X527" i="5"/>
  <c r="W527" i="5"/>
  <c r="P527" i="5"/>
  <c r="O527" i="5"/>
  <c r="AB526" i="5"/>
  <c r="AA526" i="5"/>
  <c r="Z526" i="5"/>
  <c r="Y526" i="5"/>
  <c r="X526" i="5"/>
  <c r="W526" i="5"/>
  <c r="P526" i="5"/>
  <c r="O526" i="5"/>
  <c r="AB525" i="5"/>
  <c r="AA525" i="5"/>
  <c r="Z525" i="5"/>
  <c r="Y525" i="5"/>
  <c r="X525" i="5"/>
  <c r="W525" i="5"/>
  <c r="P525" i="5"/>
  <c r="O525" i="5"/>
  <c r="AB524" i="5"/>
  <c r="AA524" i="5"/>
  <c r="Z524" i="5"/>
  <c r="Y524" i="5"/>
  <c r="X524" i="5"/>
  <c r="W524" i="5"/>
  <c r="P524" i="5"/>
  <c r="O524" i="5"/>
  <c r="AB523" i="5"/>
  <c r="AA523" i="5"/>
  <c r="Z523" i="5"/>
  <c r="Y523" i="5"/>
  <c r="X523" i="5"/>
  <c r="W523" i="5"/>
  <c r="P523" i="5"/>
  <c r="O523" i="5"/>
  <c r="AB522" i="5"/>
  <c r="AA522" i="5"/>
  <c r="Z522" i="5"/>
  <c r="Y522" i="5"/>
  <c r="X522" i="5"/>
  <c r="W522" i="5"/>
  <c r="P522" i="5"/>
  <c r="O522" i="5"/>
  <c r="AB521" i="5"/>
  <c r="AA521" i="5"/>
  <c r="Z521" i="5"/>
  <c r="Y521" i="5"/>
  <c r="X521" i="5"/>
  <c r="W521" i="5"/>
  <c r="P521" i="5"/>
  <c r="O521" i="5"/>
  <c r="AB520" i="5"/>
  <c r="AA520" i="5"/>
  <c r="Z520" i="5"/>
  <c r="Y520" i="5"/>
  <c r="X520" i="5"/>
  <c r="W520" i="5"/>
  <c r="P520" i="5"/>
  <c r="O520" i="5"/>
  <c r="AB519" i="5"/>
  <c r="AA519" i="5"/>
  <c r="Z519" i="5"/>
  <c r="Y519" i="5"/>
  <c r="X519" i="5"/>
  <c r="W519" i="5"/>
  <c r="P519" i="5"/>
  <c r="O519" i="5"/>
  <c r="AB518" i="5"/>
  <c r="AA518" i="5"/>
  <c r="Z518" i="5"/>
  <c r="Y518" i="5"/>
  <c r="X518" i="5"/>
  <c r="W518" i="5"/>
  <c r="P518" i="5"/>
  <c r="O518" i="5"/>
  <c r="AB517" i="5"/>
  <c r="AA517" i="5"/>
  <c r="Z517" i="5"/>
  <c r="Y517" i="5"/>
  <c r="X517" i="5"/>
  <c r="W517" i="5"/>
  <c r="P517" i="5"/>
  <c r="O517" i="5"/>
  <c r="AB516" i="5"/>
  <c r="AA516" i="5"/>
  <c r="Z516" i="5"/>
  <c r="Y516" i="5"/>
  <c r="X516" i="5"/>
  <c r="W516" i="5"/>
  <c r="P516" i="5"/>
  <c r="O516" i="5"/>
  <c r="AB515" i="5"/>
  <c r="AA515" i="5"/>
  <c r="Z515" i="5"/>
  <c r="Y515" i="5"/>
  <c r="X515" i="5"/>
  <c r="W515" i="5"/>
  <c r="P515" i="5"/>
  <c r="O515" i="5"/>
  <c r="AB514" i="5"/>
  <c r="AA514" i="5"/>
  <c r="Z514" i="5"/>
  <c r="Y514" i="5"/>
  <c r="X514" i="5"/>
  <c r="W514" i="5"/>
  <c r="P514" i="5"/>
  <c r="O514" i="5"/>
  <c r="AB513" i="5"/>
  <c r="AA513" i="5"/>
  <c r="Z513" i="5"/>
  <c r="Y513" i="5"/>
  <c r="X513" i="5"/>
  <c r="W513" i="5"/>
  <c r="P513" i="5"/>
  <c r="O513" i="5"/>
  <c r="AB512" i="5"/>
  <c r="AA512" i="5"/>
  <c r="Z512" i="5"/>
  <c r="Y512" i="5"/>
  <c r="X512" i="5"/>
  <c r="W512" i="5"/>
  <c r="P512" i="5"/>
  <c r="O512" i="5"/>
  <c r="AB511" i="5"/>
  <c r="AA511" i="5"/>
  <c r="Z511" i="5"/>
  <c r="Y511" i="5"/>
  <c r="X511" i="5"/>
  <c r="W511" i="5"/>
  <c r="P511" i="5"/>
  <c r="O511" i="5"/>
  <c r="AB510" i="5"/>
  <c r="AA510" i="5"/>
  <c r="Z510" i="5"/>
  <c r="Y510" i="5"/>
  <c r="X510" i="5"/>
  <c r="W510" i="5"/>
  <c r="P510" i="5"/>
  <c r="O510" i="5"/>
  <c r="AB509" i="5"/>
  <c r="AA509" i="5"/>
  <c r="Z509" i="5"/>
  <c r="Y509" i="5"/>
  <c r="X509" i="5"/>
  <c r="W509" i="5"/>
  <c r="P509" i="5"/>
  <c r="O509" i="5"/>
  <c r="AB508" i="5"/>
  <c r="AA508" i="5"/>
  <c r="Z508" i="5"/>
  <c r="Y508" i="5"/>
  <c r="X508" i="5"/>
  <c r="W508" i="5"/>
  <c r="P508" i="5"/>
  <c r="O508" i="5"/>
  <c r="AB507" i="5"/>
  <c r="AA507" i="5"/>
  <c r="Z507" i="5"/>
  <c r="Y507" i="5"/>
  <c r="X507" i="5"/>
  <c r="W507" i="5"/>
  <c r="P507" i="5"/>
  <c r="O507" i="5"/>
  <c r="AB506" i="5"/>
  <c r="AA506" i="5"/>
  <c r="Z506" i="5"/>
  <c r="Y506" i="5"/>
  <c r="X506" i="5"/>
  <c r="W506" i="5"/>
  <c r="P506" i="5"/>
  <c r="O506" i="5"/>
  <c r="AB505" i="5"/>
  <c r="AA505" i="5"/>
  <c r="Z505" i="5"/>
  <c r="Y505" i="5"/>
  <c r="X505" i="5"/>
  <c r="W505" i="5"/>
  <c r="P505" i="5"/>
  <c r="O505" i="5"/>
  <c r="AB504" i="5"/>
  <c r="AA504" i="5"/>
  <c r="Z504" i="5"/>
  <c r="Y504" i="5"/>
  <c r="X504" i="5"/>
  <c r="W504" i="5"/>
  <c r="P504" i="5"/>
  <c r="O504" i="5"/>
  <c r="AB503" i="5"/>
  <c r="AA503" i="5"/>
  <c r="Z503" i="5"/>
  <c r="Y503" i="5"/>
  <c r="X503" i="5"/>
  <c r="W503" i="5"/>
  <c r="P503" i="5"/>
  <c r="O503" i="5"/>
  <c r="AB502" i="5"/>
  <c r="AA502" i="5"/>
  <c r="Z502" i="5"/>
  <c r="Y502" i="5"/>
  <c r="X502" i="5"/>
  <c r="W502" i="5"/>
  <c r="P502" i="5"/>
  <c r="O502" i="5"/>
  <c r="AB501" i="5"/>
  <c r="AA501" i="5"/>
  <c r="Z501" i="5"/>
  <c r="Y501" i="5"/>
  <c r="X501" i="5"/>
  <c r="W501" i="5"/>
  <c r="P501" i="5"/>
  <c r="O501" i="5"/>
  <c r="AB500" i="5"/>
  <c r="AA500" i="5"/>
  <c r="Z500" i="5"/>
  <c r="Y500" i="5"/>
  <c r="X500" i="5"/>
  <c r="W500" i="5"/>
  <c r="P500" i="5"/>
  <c r="O500" i="5"/>
  <c r="AB499" i="5"/>
  <c r="AA499" i="5"/>
  <c r="Z499" i="5"/>
  <c r="Y499" i="5"/>
  <c r="X499" i="5"/>
  <c r="W499" i="5"/>
  <c r="P499" i="5"/>
  <c r="O499" i="5"/>
  <c r="AB498" i="5"/>
  <c r="AA498" i="5"/>
  <c r="Z498" i="5"/>
  <c r="Y498" i="5"/>
  <c r="X498" i="5"/>
  <c r="W498" i="5"/>
  <c r="P498" i="5"/>
  <c r="O498" i="5"/>
  <c r="AB497" i="5"/>
  <c r="AA497" i="5"/>
  <c r="Z497" i="5"/>
  <c r="Y497" i="5"/>
  <c r="X497" i="5"/>
  <c r="W497" i="5"/>
  <c r="P497" i="5"/>
  <c r="O497" i="5"/>
  <c r="AB496" i="5"/>
  <c r="AA496" i="5"/>
  <c r="Z496" i="5"/>
  <c r="Y496" i="5"/>
  <c r="X496" i="5"/>
  <c r="W496" i="5"/>
  <c r="P496" i="5"/>
  <c r="O496" i="5"/>
  <c r="AB495" i="5"/>
  <c r="AA495" i="5"/>
  <c r="Z495" i="5"/>
  <c r="Y495" i="5"/>
  <c r="X495" i="5"/>
  <c r="W495" i="5"/>
  <c r="P495" i="5"/>
  <c r="O495" i="5"/>
  <c r="AB494" i="5"/>
  <c r="AA494" i="5"/>
  <c r="Z494" i="5"/>
  <c r="Y494" i="5"/>
  <c r="X494" i="5"/>
  <c r="W494" i="5"/>
  <c r="P494" i="5"/>
  <c r="O494" i="5"/>
  <c r="AB493" i="5"/>
  <c r="AA493" i="5"/>
  <c r="Z493" i="5"/>
  <c r="Y493" i="5"/>
  <c r="X493" i="5"/>
  <c r="W493" i="5"/>
  <c r="P493" i="5"/>
  <c r="O493" i="5"/>
  <c r="AB492" i="5"/>
  <c r="AA492" i="5"/>
  <c r="Z492" i="5"/>
  <c r="Y492" i="5"/>
  <c r="X492" i="5"/>
  <c r="W492" i="5"/>
  <c r="P492" i="5"/>
  <c r="O492" i="5"/>
  <c r="AB491" i="5"/>
  <c r="AA491" i="5"/>
  <c r="Z491" i="5"/>
  <c r="Y491" i="5"/>
  <c r="X491" i="5"/>
  <c r="W491" i="5"/>
  <c r="P491" i="5"/>
  <c r="O491" i="5"/>
  <c r="AB490" i="5"/>
  <c r="AA490" i="5"/>
  <c r="Z490" i="5"/>
  <c r="Y490" i="5"/>
  <c r="X490" i="5"/>
  <c r="W490" i="5"/>
  <c r="P490" i="5"/>
  <c r="O490" i="5"/>
  <c r="AB489" i="5"/>
  <c r="AA489" i="5"/>
  <c r="Z489" i="5"/>
  <c r="Y489" i="5"/>
  <c r="X489" i="5"/>
  <c r="W489" i="5"/>
  <c r="P489" i="5"/>
  <c r="O489" i="5"/>
  <c r="AB488" i="5"/>
  <c r="AA488" i="5"/>
  <c r="Z488" i="5"/>
  <c r="Y488" i="5"/>
  <c r="X488" i="5"/>
  <c r="W488" i="5"/>
  <c r="P488" i="5"/>
  <c r="O488" i="5"/>
  <c r="AB487" i="5"/>
  <c r="AA487" i="5"/>
  <c r="Z487" i="5"/>
  <c r="Y487" i="5"/>
  <c r="X487" i="5"/>
  <c r="W487" i="5"/>
  <c r="P487" i="5"/>
  <c r="O487" i="5"/>
  <c r="AB486" i="5"/>
  <c r="AA486" i="5"/>
  <c r="Z486" i="5"/>
  <c r="Y486" i="5"/>
  <c r="X486" i="5"/>
  <c r="W486" i="5"/>
  <c r="P486" i="5"/>
  <c r="O486" i="5"/>
  <c r="AB485" i="5"/>
  <c r="AA485" i="5"/>
  <c r="Z485" i="5"/>
  <c r="Y485" i="5"/>
  <c r="X485" i="5"/>
  <c r="W485" i="5"/>
  <c r="P485" i="5"/>
  <c r="O485" i="5"/>
  <c r="AB484" i="5"/>
  <c r="AA484" i="5"/>
  <c r="Z484" i="5"/>
  <c r="Y484" i="5"/>
  <c r="X484" i="5"/>
  <c r="W484" i="5"/>
  <c r="P484" i="5"/>
  <c r="O484" i="5"/>
  <c r="AB483" i="5"/>
  <c r="AA483" i="5"/>
  <c r="Z483" i="5"/>
  <c r="Y483" i="5"/>
  <c r="X483" i="5"/>
  <c r="W483" i="5"/>
  <c r="P483" i="5"/>
  <c r="O483" i="5"/>
  <c r="AB482" i="5"/>
  <c r="AA482" i="5"/>
  <c r="Z482" i="5"/>
  <c r="Y482" i="5"/>
  <c r="X482" i="5"/>
  <c r="W482" i="5"/>
  <c r="P482" i="5"/>
  <c r="O482" i="5"/>
  <c r="AB481" i="5"/>
  <c r="AA481" i="5"/>
  <c r="Z481" i="5"/>
  <c r="Y481" i="5"/>
  <c r="X481" i="5"/>
  <c r="W481" i="5"/>
  <c r="P481" i="5"/>
  <c r="O481" i="5"/>
  <c r="AB480" i="5"/>
  <c r="AA480" i="5"/>
  <c r="Z480" i="5"/>
  <c r="Y480" i="5"/>
  <c r="X480" i="5"/>
  <c r="W480" i="5"/>
  <c r="P480" i="5"/>
  <c r="O480" i="5"/>
  <c r="AB479" i="5"/>
  <c r="AA479" i="5"/>
  <c r="Z479" i="5"/>
  <c r="Y479" i="5"/>
  <c r="X479" i="5"/>
  <c r="W479" i="5"/>
  <c r="P479" i="5"/>
  <c r="O479" i="5"/>
  <c r="AB478" i="5"/>
  <c r="AA478" i="5"/>
  <c r="Z478" i="5"/>
  <c r="Y478" i="5"/>
  <c r="X478" i="5"/>
  <c r="W478" i="5"/>
  <c r="P478" i="5"/>
  <c r="O478" i="5"/>
  <c r="AB477" i="5"/>
  <c r="AA477" i="5"/>
  <c r="Z477" i="5"/>
  <c r="Y477" i="5"/>
  <c r="X477" i="5"/>
  <c r="W477" i="5"/>
  <c r="P477" i="5"/>
  <c r="O477" i="5"/>
  <c r="AB476" i="5"/>
  <c r="AA476" i="5"/>
  <c r="Z476" i="5"/>
  <c r="Y476" i="5"/>
  <c r="X476" i="5"/>
  <c r="W476" i="5"/>
  <c r="P476" i="5"/>
  <c r="O476" i="5"/>
  <c r="AB475" i="5"/>
  <c r="AA475" i="5"/>
  <c r="Z475" i="5"/>
  <c r="Y475" i="5"/>
  <c r="X475" i="5"/>
  <c r="W475" i="5"/>
  <c r="P475" i="5"/>
  <c r="O475" i="5"/>
  <c r="AB474" i="5"/>
  <c r="AA474" i="5"/>
  <c r="Z474" i="5"/>
  <c r="Y474" i="5"/>
  <c r="X474" i="5"/>
  <c r="W474" i="5"/>
  <c r="P474" i="5"/>
  <c r="O474" i="5"/>
  <c r="AB473" i="5"/>
  <c r="AA473" i="5"/>
  <c r="Z473" i="5"/>
  <c r="Y473" i="5"/>
  <c r="X473" i="5"/>
  <c r="W473" i="5"/>
  <c r="P473" i="5"/>
  <c r="O473" i="5"/>
  <c r="AB472" i="5"/>
  <c r="AA472" i="5"/>
  <c r="Z472" i="5"/>
  <c r="Y472" i="5"/>
  <c r="X472" i="5"/>
  <c r="W472" i="5"/>
  <c r="P472" i="5"/>
  <c r="O472" i="5"/>
  <c r="AB471" i="5"/>
  <c r="AA471" i="5"/>
  <c r="Z471" i="5"/>
  <c r="Y471" i="5"/>
  <c r="X471" i="5"/>
  <c r="W471" i="5"/>
  <c r="P471" i="5"/>
  <c r="O471" i="5"/>
  <c r="AB470" i="5"/>
  <c r="AA470" i="5"/>
  <c r="Z470" i="5"/>
  <c r="Y470" i="5"/>
  <c r="X470" i="5"/>
  <c r="W470" i="5"/>
  <c r="P470" i="5"/>
  <c r="O470" i="5"/>
  <c r="AB469" i="5"/>
  <c r="AA469" i="5"/>
  <c r="Z469" i="5"/>
  <c r="Y469" i="5"/>
  <c r="X469" i="5"/>
  <c r="W469" i="5"/>
  <c r="P469" i="5"/>
  <c r="O469" i="5"/>
  <c r="AB468" i="5"/>
  <c r="AA468" i="5"/>
  <c r="Z468" i="5"/>
  <c r="Y468" i="5"/>
  <c r="X468" i="5"/>
  <c r="W468" i="5"/>
  <c r="P468" i="5"/>
  <c r="O468" i="5"/>
  <c r="AB467" i="5"/>
  <c r="AA467" i="5"/>
  <c r="Z467" i="5"/>
  <c r="Y467" i="5"/>
  <c r="X467" i="5"/>
  <c r="W467" i="5"/>
  <c r="P467" i="5"/>
  <c r="O467" i="5"/>
  <c r="AB466" i="5"/>
  <c r="AA466" i="5"/>
  <c r="Z466" i="5"/>
  <c r="Y466" i="5"/>
  <c r="X466" i="5"/>
  <c r="W466" i="5"/>
  <c r="P466" i="5"/>
  <c r="O466" i="5"/>
  <c r="AB465" i="5"/>
  <c r="AA465" i="5"/>
  <c r="Z465" i="5"/>
  <c r="Y465" i="5"/>
  <c r="X465" i="5"/>
  <c r="W465" i="5"/>
  <c r="P465" i="5"/>
  <c r="O465" i="5"/>
  <c r="AB464" i="5"/>
  <c r="AA464" i="5"/>
  <c r="Z464" i="5"/>
  <c r="Y464" i="5"/>
  <c r="X464" i="5"/>
  <c r="W464" i="5"/>
  <c r="P464" i="5"/>
  <c r="O464" i="5"/>
  <c r="AB463" i="5"/>
  <c r="AA463" i="5"/>
  <c r="Z463" i="5"/>
  <c r="Y463" i="5"/>
  <c r="X463" i="5"/>
  <c r="W463" i="5"/>
  <c r="P463" i="5"/>
  <c r="O463" i="5"/>
  <c r="AB462" i="5"/>
  <c r="AA462" i="5"/>
  <c r="Z462" i="5"/>
  <c r="Y462" i="5"/>
  <c r="X462" i="5"/>
  <c r="W462" i="5"/>
  <c r="P462" i="5"/>
  <c r="O462" i="5"/>
  <c r="AB461" i="5"/>
  <c r="AA461" i="5"/>
  <c r="Z461" i="5"/>
  <c r="Y461" i="5"/>
  <c r="X461" i="5"/>
  <c r="W461" i="5"/>
  <c r="P461" i="5"/>
  <c r="O461" i="5"/>
  <c r="AB460" i="5"/>
  <c r="AA460" i="5"/>
  <c r="Z460" i="5"/>
  <c r="Y460" i="5"/>
  <c r="X460" i="5"/>
  <c r="W460" i="5"/>
  <c r="P460" i="5"/>
  <c r="O460" i="5"/>
  <c r="AB459" i="5"/>
  <c r="AA459" i="5"/>
  <c r="Z459" i="5"/>
  <c r="Y459" i="5"/>
  <c r="X459" i="5"/>
  <c r="W459" i="5"/>
  <c r="P459" i="5"/>
  <c r="O459" i="5"/>
  <c r="AB458" i="5"/>
  <c r="AA458" i="5"/>
  <c r="Z458" i="5"/>
  <c r="Y458" i="5"/>
  <c r="X458" i="5"/>
  <c r="W458" i="5"/>
  <c r="P458" i="5"/>
  <c r="O458" i="5"/>
  <c r="AB457" i="5"/>
  <c r="AA457" i="5"/>
  <c r="Z457" i="5"/>
  <c r="Y457" i="5"/>
  <c r="X457" i="5"/>
  <c r="W457" i="5"/>
  <c r="P457" i="5"/>
  <c r="O457" i="5"/>
  <c r="AB456" i="5"/>
  <c r="AA456" i="5"/>
  <c r="Z456" i="5"/>
  <c r="Y456" i="5"/>
  <c r="X456" i="5"/>
  <c r="W456" i="5"/>
  <c r="P456" i="5"/>
  <c r="O456" i="5"/>
  <c r="AB455" i="5"/>
  <c r="AA455" i="5"/>
  <c r="Z455" i="5"/>
  <c r="Y455" i="5"/>
  <c r="X455" i="5"/>
  <c r="W455" i="5"/>
  <c r="P455" i="5"/>
  <c r="O455" i="5"/>
  <c r="AB454" i="5"/>
  <c r="AA454" i="5"/>
  <c r="Z454" i="5"/>
  <c r="Y454" i="5"/>
  <c r="X454" i="5"/>
  <c r="W454" i="5"/>
  <c r="P454" i="5"/>
  <c r="O454" i="5"/>
  <c r="AB453" i="5"/>
  <c r="AA453" i="5"/>
  <c r="Z453" i="5"/>
  <c r="Y453" i="5"/>
  <c r="X453" i="5"/>
  <c r="W453" i="5"/>
  <c r="P453" i="5"/>
  <c r="O453" i="5"/>
  <c r="AB452" i="5"/>
  <c r="AA452" i="5"/>
  <c r="Z452" i="5"/>
  <c r="Y452" i="5"/>
  <c r="X452" i="5"/>
  <c r="W452" i="5"/>
  <c r="P452" i="5"/>
  <c r="O452" i="5"/>
  <c r="AB451" i="5"/>
  <c r="AA451" i="5"/>
  <c r="Z451" i="5"/>
  <c r="Y451" i="5"/>
  <c r="X451" i="5"/>
  <c r="W451" i="5"/>
  <c r="P451" i="5"/>
  <c r="O451" i="5"/>
  <c r="AB450" i="5"/>
  <c r="AA450" i="5"/>
  <c r="Z450" i="5"/>
  <c r="Y450" i="5"/>
  <c r="X450" i="5"/>
  <c r="W450" i="5"/>
  <c r="P450" i="5"/>
  <c r="O450" i="5"/>
  <c r="AB449" i="5"/>
  <c r="AA449" i="5"/>
  <c r="Z449" i="5"/>
  <c r="Y449" i="5"/>
  <c r="X449" i="5"/>
  <c r="W449" i="5"/>
  <c r="P449" i="5"/>
  <c r="O449" i="5"/>
  <c r="AB448" i="5"/>
  <c r="AA448" i="5"/>
  <c r="Z448" i="5"/>
  <c r="Y448" i="5"/>
  <c r="X448" i="5"/>
  <c r="W448" i="5"/>
  <c r="P448" i="5"/>
  <c r="O448" i="5"/>
  <c r="AB447" i="5"/>
  <c r="AA447" i="5"/>
  <c r="Z447" i="5"/>
  <c r="Y447" i="5"/>
  <c r="X447" i="5"/>
  <c r="W447" i="5"/>
  <c r="P447" i="5"/>
  <c r="O447" i="5"/>
  <c r="AB446" i="5"/>
  <c r="AA446" i="5"/>
  <c r="Z446" i="5"/>
  <c r="Y446" i="5"/>
  <c r="X446" i="5"/>
  <c r="W446" i="5"/>
  <c r="P446" i="5"/>
  <c r="O446" i="5"/>
  <c r="AB445" i="5"/>
  <c r="AA445" i="5"/>
  <c r="Z445" i="5"/>
  <c r="Y445" i="5"/>
  <c r="X445" i="5"/>
  <c r="W445" i="5"/>
  <c r="P445" i="5"/>
  <c r="O445" i="5"/>
  <c r="AB444" i="5"/>
  <c r="AA444" i="5"/>
  <c r="Z444" i="5"/>
  <c r="Y444" i="5"/>
  <c r="X444" i="5"/>
  <c r="W444" i="5"/>
  <c r="P444" i="5"/>
  <c r="O444" i="5"/>
  <c r="AB443" i="5"/>
  <c r="AA443" i="5"/>
  <c r="Z443" i="5"/>
  <c r="Y443" i="5"/>
  <c r="X443" i="5"/>
  <c r="W443" i="5"/>
  <c r="P443" i="5"/>
  <c r="O443" i="5"/>
  <c r="AB442" i="5"/>
  <c r="AA442" i="5"/>
  <c r="Z442" i="5"/>
  <c r="Y442" i="5"/>
  <c r="X442" i="5"/>
  <c r="W442" i="5"/>
  <c r="P442" i="5"/>
  <c r="O442" i="5"/>
  <c r="AB441" i="5"/>
  <c r="AA441" i="5"/>
  <c r="Z441" i="5"/>
  <c r="Y441" i="5"/>
  <c r="X441" i="5"/>
  <c r="W441" i="5"/>
  <c r="P441" i="5"/>
  <c r="O441" i="5"/>
  <c r="AB440" i="5"/>
  <c r="AA440" i="5"/>
  <c r="Z440" i="5"/>
  <c r="Y440" i="5"/>
  <c r="X440" i="5"/>
  <c r="W440" i="5"/>
  <c r="P440" i="5"/>
  <c r="O440" i="5"/>
  <c r="AB439" i="5"/>
  <c r="AA439" i="5"/>
  <c r="Z439" i="5"/>
  <c r="Y439" i="5"/>
  <c r="X439" i="5"/>
  <c r="W439" i="5"/>
  <c r="P439" i="5"/>
  <c r="O439" i="5"/>
  <c r="AB438" i="5"/>
  <c r="AA438" i="5"/>
  <c r="Z438" i="5"/>
  <c r="Y438" i="5"/>
  <c r="X438" i="5"/>
  <c r="W438" i="5"/>
  <c r="P438" i="5"/>
  <c r="O438" i="5"/>
  <c r="AB437" i="5"/>
  <c r="AA437" i="5"/>
  <c r="Z437" i="5"/>
  <c r="Y437" i="5"/>
  <c r="X437" i="5"/>
  <c r="W437" i="5"/>
  <c r="P437" i="5"/>
  <c r="O437" i="5"/>
  <c r="AB436" i="5"/>
  <c r="AA436" i="5"/>
  <c r="Z436" i="5"/>
  <c r="Y436" i="5"/>
  <c r="X436" i="5"/>
  <c r="W436" i="5"/>
  <c r="P436" i="5"/>
  <c r="O436" i="5"/>
  <c r="AB435" i="5"/>
  <c r="AA435" i="5"/>
  <c r="Z435" i="5"/>
  <c r="Y435" i="5"/>
  <c r="X435" i="5"/>
  <c r="W435" i="5"/>
  <c r="P435" i="5"/>
  <c r="O435" i="5"/>
  <c r="AB434" i="5"/>
  <c r="AA434" i="5"/>
  <c r="Z434" i="5"/>
  <c r="Y434" i="5"/>
  <c r="X434" i="5"/>
  <c r="W434" i="5"/>
  <c r="P434" i="5"/>
  <c r="O434" i="5"/>
  <c r="AB433" i="5"/>
  <c r="AA433" i="5"/>
  <c r="Z433" i="5"/>
  <c r="Y433" i="5"/>
  <c r="X433" i="5"/>
  <c r="W433" i="5"/>
  <c r="P433" i="5"/>
  <c r="O433" i="5"/>
  <c r="AB432" i="5"/>
  <c r="AA432" i="5"/>
  <c r="Z432" i="5"/>
  <c r="Y432" i="5"/>
  <c r="X432" i="5"/>
  <c r="W432" i="5"/>
  <c r="P432" i="5"/>
  <c r="O432" i="5"/>
  <c r="AB431" i="5"/>
  <c r="AA431" i="5"/>
  <c r="Z431" i="5"/>
  <c r="Y431" i="5"/>
  <c r="X431" i="5"/>
  <c r="W431" i="5"/>
  <c r="P431" i="5"/>
  <c r="O431" i="5"/>
  <c r="AB430" i="5"/>
  <c r="AA430" i="5"/>
  <c r="Z430" i="5"/>
  <c r="Y430" i="5"/>
  <c r="X430" i="5"/>
  <c r="W430" i="5"/>
  <c r="P430" i="5"/>
  <c r="O430" i="5"/>
  <c r="AB429" i="5"/>
  <c r="AA429" i="5"/>
  <c r="Z429" i="5"/>
  <c r="Y429" i="5"/>
  <c r="X429" i="5"/>
  <c r="W429" i="5"/>
  <c r="P429" i="5"/>
  <c r="O429" i="5"/>
  <c r="AB428" i="5"/>
  <c r="AA428" i="5"/>
  <c r="Z428" i="5"/>
  <c r="Y428" i="5"/>
  <c r="X428" i="5"/>
  <c r="W428" i="5"/>
  <c r="P428" i="5"/>
  <c r="O428" i="5"/>
  <c r="AB427" i="5"/>
  <c r="AA427" i="5"/>
  <c r="Z427" i="5"/>
  <c r="Y427" i="5"/>
  <c r="X427" i="5"/>
  <c r="W427" i="5"/>
  <c r="P427" i="5"/>
  <c r="O427" i="5"/>
  <c r="AB426" i="5"/>
  <c r="AA426" i="5"/>
  <c r="Z426" i="5"/>
  <c r="Y426" i="5"/>
  <c r="X426" i="5"/>
  <c r="W426" i="5"/>
  <c r="P426" i="5"/>
  <c r="O426" i="5"/>
  <c r="AB425" i="5"/>
  <c r="AA425" i="5"/>
  <c r="Z425" i="5"/>
  <c r="Y425" i="5"/>
  <c r="X425" i="5"/>
  <c r="W425" i="5"/>
  <c r="P425" i="5"/>
  <c r="O425" i="5"/>
  <c r="AB424" i="5"/>
  <c r="AA424" i="5"/>
  <c r="Z424" i="5"/>
  <c r="Y424" i="5"/>
  <c r="X424" i="5"/>
  <c r="W424" i="5"/>
  <c r="P424" i="5"/>
  <c r="O424" i="5"/>
  <c r="AB423" i="5"/>
  <c r="AA423" i="5"/>
  <c r="Z423" i="5"/>
  <c r="Y423" i="5"/>
  <c r="X423" i="5"/>
  <c r="W423" i="5"/>
  <c r="P423" i="5"/>
  <c r="O423" i="5"/>
  <c r="AB422" i="5"/>
  <c r="AA422" i="5"/>
  <c r="Z422" i="5"/>
  <c r="Y422" i="5"/>
  <c r="X422" i="5"/>
  <c r="W422" i="5"/>
  <c r="P422" i="5"/>
  <c r="O422" i="5"/>
  <c r="AB421" i="5"/>
  <c r="AA421" i="5"/>
  <c r="Z421" i="5"/>
  <c r="Y421" i="5"/>
  <c r="X421" i="5"/>
  <c r="W421" i="5"/>
  <c r="P421" i="5"/>
  <c r="O421" i="5"/>
  <c r="AB420" i="5"/>
  <c r="AA420" i="5"/>
  <c r="Z420" i="5"/>
  <c r="Y420" i="5"/>
  <c r="X420" i="5"/>
  <c r="W420" i="5"/>
  <c r="P420" i="5"/>
  <c r="O420" i="5"/>
  <c r="AB419" i="5"/>
  <c r="AA419" i="5"/>
  <c r="Z419" i="5"/>
  <c r="Y419" i="5"/>
  <c r="X419" i="5"/>
  <c r="W419" i="5"/>
  <c r="P419" i="5"/>
  <c r="O419" i="5"/>
  <c r="AB418" i="5"/>
  <c r="AA418" i="5"/>
  <c r="Z418" i="5"/>
  <c r="Y418" i="5"/>
  <c r="X418" i="5"/>
  <c r="W418" i="5"/>
  <c r="P418" i="5"/>
  <c r="O418" i="5"/>
  <c r="AB417" i="5"/>
  <c r="AA417" i="5"/>
  <c r="Z417" i="5"/>
  <c r="Y417" i="5"/>
  <c r="X417" i="5"/>
  <c r="W417" i="5"/>
  <c r="P417" i="5"/>
  <c r="O417" i="5"/>
  <c r="AB416" i="5"/>
  <c r="AA416" i="5"/>
  <c r="Z416" i="5"/>
  <c r="Y416" i="5"/>
  <c r="X416" i="5"/>
  <c r="W416" i="5"/>
  <c r="P416" i="5"/>
  <c r="O416" i="5"/>
  <c r="AB415" i="5"/>
  <c r="AA415" i="5"/>
  <c r="Z415" i="5"/>
  <c r="Y415" i="5"/>
  <c r="X415" i="5"/>
  <c r="W415" i="5"/>
  <c r="P415" i="5"/>
  <c r="O415" i="5"/>
  <c r="AB414" i="5"/>
  <c r="AA414" i="5"/>
  <c r="Z414" i="5"/>
  <c r="Y414" i="5"/>
  <c r="X414" i="5"/>
  <c r="W414" i="5"/>
  <c r="P414" i="5"/>
  <c r="O414" i="5"/>
  <c r="AB413" i="5"/>
  <c r="AA413" i="5"/>
  <c r="Z413" i="5"/>
  <c r="Y413" i="5"/>
  <c r="X413" i="5"/>
  <c r="W413" i="5"/>
  <c r="P413" i="5"/>
  <c r="O413" i="5"/>
  <c r="AB412" i="5"/>
  <c r="AA412" i="5"/>
  <c r="Z412" i="5"/>
  <c r="Y412" i="5"/>
  <c r="X412" i="5"/>
  <c r="W412" i="5"/>
  <c r="P412" i="5"/>
  <c r="O412" i="5"/>
  <c r="AB411" i="5"/>
  <c r="AA411" i="5"/>
  <c r="Z411" i="5"/>
  <c r="Y411" i="5"/>
  <c r="X411" i="5"/>
  <c r="W411" i="5"/>
  <c r="P411" i="5"/>
  <c r="O411" i="5"/>
  <c r="AB410" i="5"/>
  <c r="AA410" i="5"/>
  <c r="Z410" i="5"/>
  <c r="Y410" i="5"/>
  <c r="X410" i="5"/>
  <c r="W410" i="5"/>
  <c r="P410" i="5"/>
  <c r="O410" i="5"/>
  <c r="AB409" i="5"/>
  <c r="AA409" i="5"/>
  <c r="Z409" i="5"/>
  <c r="Y409" i="5"/>
  <c r="X409" i="5"/>
  <c r="W409" i="5"/>
  <c r="P409" i="5"/>
  <c r="O409" i="5"/>
  <c r="AB408" i="5"/>
  <c r="AA408" i="5"/>
  <c r="Z408" i="5"/>
  <c r="Y408" i="5"/>
  <c r="X408" i="5"/>
  <c r="W408" i="5"/>
  <c r="P408" i="5"/>
  <c r="O408" i="5"/>
  <c r="AB407" i="5"/>
  <c r="AA407" i="5"/>
  <c r="Z407" i="5"/>
  <c r="Y407" i="5"/>
  <c r="X407" i="5"/>
  <c r="W407" i="5"/>
  <c r="P407" i="5"/>
  <c r="O407" i="5"/>
  <c r="AB406" i="5"/>
  <c r="AA406" i="5"/>
  <c r="Z406" i="5"/>
  <c r="Y406" i="5"/>
  <c r="X406" i="5"/>
  <c r="W406" i="5"/>
  <c r="P406" i="5"/>
  <c r="O406" i="5"/>
  <c r="AB405" i="5"/>
  <c r="AA405" i="5"/>
  <c r="Z405" i="5"/>
  <c r="Y405" i="5"/>
  <c r="X405" i="5"/>
  <c r="W405" i="5"/>
  <c r="P405" i="5"/>
  <c r="O405" i="5"/>
  <c r="AB404" i="5"/>
  <c r="AA404" i="5"/>
  <c r="Z404" i="5"/>
  <c r="Y404" i="5"/>
  <c r="X404" i="5"/>
  <c r="W404" i="5"/>
  <c r="P404" i="5"/>
  <c r="O404" i="5"/>
  <c r="AB403" i="5"/>
  <c r="AA403" i="5"/>
  <c r="Z403" i="5"/>
  <c r="Y403" i="5"/>
  <c r="X403" i="5"/>
  <c r="W403" i="5"/>
  <c r="P403" i="5"/>
  <c r="O403" i="5"/>
  <c r="AB402" i="5"/>
  <c r="AA402" i="5"/>
  <c r="Z402" i="5"/>
  <c r="Y402" i="5"/>
  <c r="X402" i="5"/>
  <c r="W402" i="5"/>
  <c r="P402" i="5"/>
  <c r="O402" i="5"/>
  <c r="AB401" i="5"/>
  <c r="AA401" i="5"/>
  <c r="Z401" i="5"/>
  <c r="Y401" i="5"/>
  <c r="X401" i="5"/>
  <c r="W401" i="5"/>
  <c r="P401" i="5"/>
  <c r="O401" i="5"/>
  <c r="AB400" i="5"/>
  <c r="AA400" i="5"/>
  <c r="Z400" i="5"/>
  <c r="Y400" i="5"/>
  <c r="X400" i="5"/>
  <c r="W400" i="5"/>
  <c r="P400" i="5"/>
  <c r="O400" i="5"/>
  <c r="AB399" i="5"/>
  <c r="AA399" i="5"/>
  <c r="Z399" i="5"/>
  <c r="Y399" i="5"/>
  <c r="X399" i="5"/>
  <c r="W399" i="5"/>
  <c r="P399" i="5"/>
  <c r="O399" i="5"/>
  <c r="AB398" i="5"/>
  <c r="AA398" i="5"/>
  <c r="Z398" i="5"/>
  <c r="Y398" i="5"/>
  <c r="X398" i="5"/>
  <c r="W398" i="5"/>
  <c r="P398" i="5"/>
  <c r="O398" i="5"/>
  <c r="AB397" i="5"/>
  <c r="AA397" i="5"/>
  <c r="Z397" i="5"/>
  <c r="Y397" i="5"/>
  <c r="X397" i="5"/>
  <c r="W397" i="5"/>
  <c r="P397" i="5"/>
  <c r="O397" i="5"/>
  <c r="AB396" i="5"/>
  <c r="AA396" i="5"/>
  <c r="Z396" i="5"/>
  <c r="Y396" i="5"/>
  <c r="X396" i="5"/>
  <c r="W396" i="5"/>
  <c r="P396" i="5"/>
  <c r="O396" i="5"/>
  <c r="AB395" i="5"/>
  <c r="AA395" i="5"/>
  <c r="Z395" i="5"/>
  <c r="Y395" i="5"/>
  <c r="X395" i="5"/>
  <c r="W395" i="5"/>
  <c r="P395" i="5"/>
  <c r="O395" i="5"/>
  <c r="AB394" i="5"/>
  <c r="AA394" i="5"/>
  <c r="Z394" i="5"/>
  <c r="Y394" i="5"/>
  <c r="X394" i="5"/>
  <c r="W394" i="5"/>
  <c r="P394" i="5"/>
  <c r="O394" i="5"/>
  <c r="AB393" i="5"/>
  <c r="AA393" i="5"/>
  <c r="Z393" i="5"/>
  <c r="Y393" i="5"/>
  <c r="X393" i="5"/>
  <c r="W393" i="5"/>
  <c r="P393" i="5"/>
  <c r="O393" i="5"/>
  <c r="AB392" i="5"/>
  <c r="AA392" i="5"/>
  <c r="Z392" i="5"/>
  <c r="Y392" i="5"/>
  <c r="X392" i="5"/>
  <c r="W392" i="5"/>
  <c r="P392" i="5"/>
  <c r="O392" i="5"/>
  <c r="AB391" i="5"/>
  <c r="AA391" i="5"/>
  <c r="Z391" i="5"/>
  <c r="Y391" i="5"/>
  <c r="X391" i="5"/>
  <c r="W391" i="5"/>
  <c r="P391" i="5"/>
  <c r="O391" i="5"/>
  <c r="AB390" i="5"/>
  <c r="AA390" i="5"/>
  <c r="Z390" i="5"/>
  <c r="Y390" i="5"/>
  <c r="X390" i="5"/>
  <c r="W390" i="5"/>
  <c r="P390" i="5"/>
  <c r="O390" i="5"/>
  <c r="AB389" i="5"/>
  <c r="AA389" i="5"/>
  <c r="Z389" i="5"/>
  <c r="Y389" i="5"/>
  <c r="X389" i="5"/>
  <c r="W389" i="5"/>
  <c r="P389" i="5"/>
  <c r="O389" i="5"/>
  <c r="AB388" i="5"/>
  <c r="AA388" i="5"/>
  <c r="Z388" i="5"/>
  <c r="Y388" i="5"/>
  <c r="X388" i="5"/>
  <c r="W388" i="5"/>
  <c r="P388" i="5"/>
  <c r="O388" i="5"/>
  <c r="AB387" i="5"/>
  <c r="AA387" i="5"/>
  <c r="Z387" i="5"/>
  <c r="Y387" i="5"/>
  <c r="X387" i="5"/>
  <c r="W387" i="5"/>
  <c r="P387" i="5"/>
  <c r="O387" i="5"/>
  <c r="AB386" i="5"/>
  <c r="AA386" i="5"/>
  <c r="Z386" i="5"/>
  <c r="Y386" i="5"/>
  <c r="X386" i="5"/>
  <c r="W386" i="5"/>
  <c r="P386" i="5"/>
  <c r="O386" i="5"/>
  <c r="AB385" i="5"/>
  <c r="AA385" i="5"/>
  <c r="Z385" i="5"/>
  <c r="Y385" i="5"/>
  <c r="X385" i="5"/>
  <c r="W385" i="5"/>
  <c r="P385" i="5"/>
  <c r="O385" i="5"/>
  <c r="AB384" i="5"/>
  <c r="AA384" i="5"/>
  <c r="Z384" i="5"/>
  <c r="Y384" i="5"/>
  <c r="X384" i="5"/>
  <c r="W384" i="5"/>
  <c r="P384" i="5"/>
  <c r="O384" i="5"/>
  <c r="AB383" i="5"/>
  <c r="AA383" i="5"/>
  <c r="Z383" i="5"/>
  <c r="Y383" i="5"/>
  <c r="X383" i="5"/>
  <c r="W383" i="5"/>
  <c r="P383" i="5"/>
  <c r="O383" i="5"/>
  <c r="AB382" i="5"/>
  <c r="AA382" i="5"/>
  <c r="Z382" i="5"/>
  <c r="Y382" i="5"/>
  <c r="X382" i="5"/>
  <c r="W382" i="5"/>
  <c r="P382" i="5"/>
  <c r="O382" i="5"/>
  <c r="AB381" i="5"/>
  <c r="AA381" i="5"/>
  <c r="Z381" i="5"/>
  <c r="Y381" i="5"/>
  <c r="X381" i="5"/>
  <c r="W381" i="5"/>
  <c r="P381" i="5"/>
  <c r="O381" i="5"/>
  <c r="AB380" i="5"/>
  <c r="AA380" i="5"/>
  <c r="Z380" i="5"/>
  <c r="Y380" i="5"/>
  <c r="X380" i="5"/>
  <c r="W380" i="5"/>
  <c r="P380" i="5"/>
  <c r="O380" i="5"/>
  <c r="AB379" i="5"/>
  <c r="AA379" i="5"/>
  <c r="Z379" i="5"/>
  <c r="Y379" i="5"/>
  <c r="X379" i="5"/>
  <c r="W379" i="5"/>
  <c r="P379" i="5"/>
  <c r="O379" i="5"/>
  <c r="AB378" i="5"/>
  <c r="AA378" i="5"/>
  <c r="Z378" i="5"/>
  <c r="Y378" i="5"/>
  <c r="X378" i="5"/>
  <c r="W378" i="5"/>
  <c r="P378" i="5"/>
  <c r="O378" i="5"/>
  <c r="AB377" i="5"/>
  <c r="AA377" i="5"/>
  <c r="Z377" i="5"/>
  <c r="Y377" i="5"/>
  <c r="X377" i="5"/>
  <c r="W377" i="5"/>
  <c r="P377" i="5"/>
  <c r="O377" i="5"/>
  <c r="AB376" i="5"/>
  <c r="AA376" i="5"/>
  <c r="Z376" i="5"/>
  <c r="Y376" i="5"/>
  <c r="X376" i="5"/>
  <c r="W376" i="5"/>
  <c r="P376" i="5"/>
  <c r="O376" i="5"/>
  <c r="AB375" i="5"/>
  <c r="AA375" i="5"/>
  <c r="Z375" i="5"/>
  <c r="Y375" i="5"/>
  <c r="X375" i="5"/>
  <c r="W375" i="5"/>
  <c r="P375" i="5"/>
  <c r="O375" i="5"/>
  <c r="AB374" i="5"/>
  <c r="AA374" i="5"/>
  <c r="Z374" i="5"/>
  <c r="Y374" i="5"/>
  <c r="X374" i="5"/>
  <c r="W374" i="5"/>
  <c r="P374" i="5"/>
  <c r="O374" i="5"/>
  <c r="AB373" i="5"/>
  <c r="AA373" i="5"/>
  <c r="Z373" i="5"/>
  <c r="Y373" i="5"/>
  <c r="X373" i="5"/>
  <c r="W373" i="5"/>
  <c r="P373" i="5"/>
  <c r="O373" i="5"/>
  <c r="AB372" i="5"/>
  <c r="AA372" i="5"/>
  <c r="Z372" i="5"/>
  <c r="Y372" i="5"/>
  <c r="X372" i="5"/>
  <c r="W372" i="5"/>
  <c r="P372" i="5"/>
  <c r="O372" i="5"/>
  <c r="AB371" i="5"/>
  <c r="AA371" i="5"/>
  <c r="Z371" i="5"/>
  <c r="Y371" i="5"/>
  <c r="X371" i="5"/>
  <c r="W371" i="5"/>
  <c r="P371" i="5"/>
  <c r="O371" i="5"/>
  <c r="AB370" i="5"/>
  <c r="AA370" i="5"/>
  <c r="Z370" i="5"/>
  <c r="Y370" i="5"/>
  <c r="X370" i="5"/>
  <c r="W370" i="5"/>
  <c r="P370" i="5"/>
  <c r="O370" i="5"/>
  <c r="AB369" i="5"/>
  <c r="AA369" i="5"/>
  <c r="Z369" i="5"/>
  <c r="Y369" i="5"/>
  <c r="X369" i="5"/>
  <c r="W369" i="5"/>
  <c r="P369" i="5"/>
  <c r="O369" i="5"/>
  <c r="AB368" i="5"/>
  <c r="AA368" i="5"/>
  <c r="Z368" i="5"/>
  <c r="Y368" i="5"/>
  <c r="X368" i="5"/>
  <c r="W368" i="5"/>
  <c r="P368" i="5"/>
  <c r="O368" i="5"/>
  <c r="AB367" i="5"/>
  <c r="AA367" i="5"/>
  <c r="Z367" i="5"/>
  <c r="Y367" i="5"/>
  <c r="X367" i="5"/>
  <c r="W367" i="5"/>
  <c r="P367" i="5"/>
  <c r="O367" i="5"/>
  <c r="AB366" i="5"/>
  <c r="AA366" i="5"/>
  <c r="Z366" i="5"/>
  <c r="Y366" i="5"/>
  <c r="X366" i="5"/>
  <c r="W366" i="5"/>
  <c r="P366" i="5"/>
  <c r="O366" i="5"/>
  <c r="AB365" i="5"/>
  <c r="AA365" i="5"/>
  <c r="Z365" i="5"/>
  <c r="Y365" i="5"/>
  <c r="X365" i="5"/>
  <c r="W365" i="5"/>
  <c r="P365" i="5"/>
  <c r="O365" i="5"/>
  <c r="AB364" i="5"/>
  <c r="AA364" i="5"/>
  <c r="Z364" i="5"/>
  <c r="Y364" i="5"/>
  <c r="X364" i="5"/>
  <c r="W364" i="5"/>
  <c r="P364" i="5"/>
  <c r="O364" i="5"/>
  <c r="AB363" i="5"/>
  <c r="AA363" i="5"/>
  <c r="Z363" i="5"/>
  <c r="Y363" i="5"/>
  <c r="X363" i="5"/>
  <c r="W363" i="5"/>
  <c r="P363" i="5"/>
  <c r="O363" i="5"/>
  <c r="AB362" i="5"/>
  <c r="AA362" i="5"/>
  <c r="Z362" i="5"/>
  <c r="Y362" i="5"/>
  <c r="X362" i="5"/>
  <c r="W362" i="5"/>
  <c r="P362" i="5"/>
  <c r="O362" i="5"/>
  <c r="AB361" i="5"/>
  <c r="AA361" i="5"/>
  <c r="Z361" i="5"/>
  <c r="Y361" i="5"/>
  <c r="X361" i="5"/>
  <c r="W361" i="5"/>
  <c r="P361" i="5"/>
  <c r="O361" i="5"/>
  <c r="AB360" i="5"/>
  <c r="AA360" i="5"/>
  <c r="Z360" i="5"/>
  <c r="Y360" i="5"/>
  <c r="X360" i="5"/>
  <c r="W360" i="5"/>
  <c r="P360" i="5"/>
  <c r="O360" i="5"/>
  <c r="AB359" i="5"/>
  <c r="AA359" i="5"/>
  <c r="Z359" i="5"/>
  <c r="Y359" i="5"/>
  <c r="X359" i="5"/>
  <c r="W359" i="5"/>
  <c r="P359" i="5"/>
  <c r="O359" i="5"/>
  <c r="AB358" i="5"/>
  <c r="AA358" i="5"/>
  <c r="Z358" i="5"/>
  <c r="Y358" i="5"/>
  <c r="X358" i="5"/>
  <c r="W358" i="5"/>
  <c r="P358" i="5"/>
  <c r="O358" i="5"/>
  <c r="AB357" i="5"/>
  <c r="AA357" i="5"/>
  <c r="Z357" i="5"/>
  <c r="Y357" i="5"/>
  <c r="X357" i="5"/>
  <c r="W357" i="5"/>
  <c r="P357" i="5"/>
  <c r="O357" i="5"/>
  <c r="AB356" i="5"/>
  <c r="AA356" i="5"/>
  <c r="Z356" i="5"/>
  <c r="Y356" i="5"/>
  <c r="X356" i="5"/>
  <c r="W356" i="5"/>
  <c r="P356" i="5"/>
  <c r="O356" i="5"/>
  <c r="AB355" i="5"/>
  <c r="AA355" i="5"/>
  <c r="Z355" i="5"/>
  <c r="Y355" i="5"/>
  <c r="X355" i="5"/>
  <c r="W355" i="5"/>
  <c r="P355" i="5"/>
  <c r="O355" i="5"/>
  <c r="AB354" i="5"/>
  <c r="AA354" i="5"/>
  <c r="Z354" i="5"/>
  <c r="Y354" i="5"/>
  <c r="X354" i="5"/>
  <c r="W354" i="5"/>
  <c r="P354" i="5"/>
  <c r="O354" i="5"/>
  <c r="AB353" i="5"/>
  <c r="AA353" i="5"/>
  <c r="Z353" i="5"/>
  <c r="Y353" i="5"/>
  <c r="X353" i="5"/>
  <c r="W353" i="5"/>
  <c r="P353" i="5"/>
  <c r="O353" i="5"/>
  <c r="AB352" i="5"/>
  <c r="AA352" i="5"/>
  <c r="Z352" i="5"/>
  <c r="Y352" i="5"/>
  <c r="X352" i="5"/>
  <c r="W352" i="5"/>
  <c r="P352" i="5"/>
  <c r="O352" i="5"/>
  <c r="AB351" i="5"/>
  <c r="AA351" i="5"/>
  <c r="Z351" i="5"/>
  <c r="Y351" i="5"/>
  <c r="X351" i="5"/>
  <c r="W351" i="5"/>
  <c r="P351" i="5"/>
  <c r="O351" i="5"/>
  <c r="AB350" i="5"/>
  <c r="AA350" i="5"/>
  <c r="Z350" i="5"/>
  <c r="Y350" i="5"/>
  <c r="X350" i="5"/>
  <c r="W350" i="5"/>
  <c r="P350" i="5"/>
  <c r="O350" i="5"/>
  <c r="AB349" i="5"/>
  <c r="AA349" i="5"/>
  <c r="Z349" i="5"/>
  <c r="Y349" i="5"/>
  <c r="X349" i="5"/>
  <c r="W349" i="5"/>
  <c r="P349" i="5"/>
  <c r="O349" i="5"/>
  <c r="AB348" i="5"/>
  <c r="AA348" i="5"/>
  <c r="Z348" i="5"/>
  <c r="Y348" i="5"/>
  <c r="X348" i="5"/>
  <c r="W348" i="5"/>
  <c r="P348" i="5"/>
  <c r="O348" i="5"/>
  <c r="AB347" i="5"/>
  <c r="AA347" i="5"/>
  <c r="Z347" i="5"/>
  <c r="Y347" i="5"/>
  <c r="X347" i="5"/>
  <c r="W347" i="5"/>
  <c r="P347" i="5"/>
  <c r="O347" i="5"/>
  <c r="AB346" i="5"/>
  <c r="AA346" i="5"/>
  <c r="Z346" i="5"/>
  <c r="Y346" i="5"/>
  <c r="X346" i="5"/>
  <c r="W346" i="5"/>
  <c r="P346" i="5"/>
  <c r="O346" i="5"/>
  <c r="AB345" i="5"/>
  <c r="AA345" i="5"/>
  <c r="Z345" i="5"/>
  <c r="Y345" i="5"/>
  <c r="X345" i="5"/>
  <c r="W345" i="5"/>
  <c r="P345" i="5"/>
  <c r="O345" i="5"/>
  <c r="AB344" i="5"/>
  <c r="AA344" i="5"/>
  <c r="Z344" i="5"/>
  <c r="Y344" i="5"/>
  <c r="X344" i="5"/>
  <c r="W344" i="5"/>
  <c r="P344" i="5"/>
  <c r="O344" i="5"/>
  <c r="AB343" i="5"/>
  <c r="AA343" i="5"/>
  <c r="Z343" i="5"/>
  <c r="Y343" i="5"/>
  <c r="X343" i="5"/>
  <c r="W343" i="5"/>
  <c r="P343" i="5"/>
  <c r="O343" i="5"/>
  <c r="AB342" i="5"/>
  <c r="AA342" i="5"/>
  <c r="Z342" i="5"/>
  <c r="Y342" i="5"/>
  <c r="X342" i="5"/>
  <c r="W342" i="5"/>
  <c r="P342" i="5"/>
  <c r="O342" i="5"/>
  <c r="AB341" i="5"/>
  <c r="AA341" i="5"/>
  <c r="Z341" i="5"/>
  <c r="Y341" i="5"/>
  <c r="X341" i="5"/>
  <c r="W341" i="5"/>
  <c r="P341" i="5"/>
  <c r="O341" i="5"/>
  <c r="AB340" i="5"/>
  <c r="AA340" i="5"/>
  <c r="Z340" i="5"/>
  <c r="Y340" i="5"/>
  <c r="X340" i="5"/>
  <c r="W340" i="5"/>
  <c r="P340" i="5"/>
  <c r="O340" i="5"/>
  <c r="AB339" i="5"/>
  <c r="AA339" i="5"/>
  <c r="Z339" i="5"/>
  <c r="Y339" i="5"/>
  <c r="X339" i="5"/>
  <c r="W339" i="5"/>
  <c r="P339" i="5"/>
  <c r="O339" i="5"/>
  <c r="AB338" i="5"/>
  <c r="AA338" i="5"/>
  <c r="Z338" i="5"/>
  <c r="Y338" i="5"/>
  <c r="X338" i="5"/>
  <c r="W338" i="5"/>
  <c r="P338" i="5"/>
  <c r="O338" i="5"/>
  <c r="AB337" i="5"/>
  <c r="AA337" i="5"/>
  <c r="Z337" i="5"/>
  <c r="Y337" i="5"/>
  <c r="X337" i="5"/>
  <c r="W337" i="5"/>
  <c r="P337" i="5"/>
  <c r="O337" i="5"/>
  <c r="AB336" i="5"/>
  <c r="AA336" i="5"/>
  <c r="Z336" i="5"/>
  <c r="Y336" i="5"/>
  <c r="X336" i="5"/>
  <c r="W336" i="5"/>
  <c r="P336" i="5"/>
  <c r="O336" i="5"/>
  <c r="AB335" i="5"/>
  <c r="AA335" i="5"/>
  <c r="Z335" i="5"/>
  <c r="Y335" i="5"/>
  <c r="X335" i="5"/>
  <c r="W335" i="5"/>
  <c r="P335" i="5"/>
  <c r="O335" i="5"/>
  <c r="AB334" i="5"/>
  <c r="AA334" i="5"/>
  <c r="Z334" i="5"/>
  <c r="Y334" i="5"/>
  <c r="X334" i="5"/>
  <c r="W334" i="5"/>
  <c r="P334" i="5"/>
  <c r="O334" i="5"/>
  <c r="AB333" i="5"/>
  <c r="AA333" i="5"/>
  <c r="Z333" i="5"/>
  <c r="Y333" i="5"/>
  <c r="X333" i="5"/>
  <c r="W333" i="5"/>
  <c r="P333" i="5"/>
  <c r="O333" i="5"/>
  <c r="AB332" i="5"/>
  <c r="AA332" i="5"/>
  <c r="Z332" i="5"/>
  <c r="Y332" i="5"/>
  <c r="X332" i="5"/>
  <c r="W332" i="5"/>
  <c r="P332" i="5"/>
  <c r="O332" i="5"/>
  <c r="AB331" i="5"/>
  <c r="AA331" i="5"/>
  <c r="Z331" i="5"/>
  <c r="Y331" i="5"/>
  <c r="X331" i="5"/>
  <c r="W331" i="5"/>
  <c r="P331" i="5"/>
  <c r="O331" i="5"/>
  <c r="AB330" i="5"/>
  <c r="AA330" i="5"/>
  <c r="Z330" i="5"/>
  <c r="Y330" i="5"/>
  <c r="X330" i="5"/>
  <c r="W330" i="5"/>
  <c r="P330" i="5"/>
  <c r="O330" i="5"/>
  <c r="AB329" i="5"/>
  <c r="AA329" i="5"/>
  <c r="Z329" i="5"/>
  <c r="Y329" i="5"/>
  <c r="X329" i="5"/>
  <c r="W329" i="5"/>
  <c r="P329" i="5"/>
  <c r="O329" i="5"/>
  <c r="AB328" i="5"/>
  <c r="AA328" i="5"/>
  <c r="Z328" i="5"/>
  <c r="Y328" i="5"/>
  <c r="X328" i="5"/>
  <c r="W328" i="5"/>
  <c r="P328" i="5"/>
  <c r="O328" i="5"/>
  <c r="AB327" i="5"/>
  <c r="AA327" i="5"/>
  <c r="Z327" i="5"/>
  <c r="Y327" i="5"/>
  <c r="X327" i="5"/>
  <c r="W327" i="5"/>
  <c r="P327" i="5"/>
  <c r="O327" i="5"/>
  <c r="AB326" i="5"/>
  <c r="AA326" i="5"/>
  <c r="Z326" i="5"/>
  <c r="Y326" i="5"/>
  <c r="X326" i="5"/>
  <c r="W326" i="5"/>
  <c r="P326" i="5"/>
  <c r="O326" i="5"/>
  <c r="AB325" i="5"/>
  <c r="AA325" i="5"/>
  <c r="Z325" i="5"/>
  <c r="Y325" i="5"/>
  <c r="X325" i="5"/>
  <c r="W325" i="5"/>
  <c r="P325" i="5"/>
  <c r="O325" i="5"/>
  <c r="AB324" i="5"/>
  <c r="AA324" i="5"/>
  <c r="Z324" i="5"/>
  <c r="Y324" i="5"/>
  <c r="X324" i="5"/>
  <c r="W324" i="5"/>
  <c r="P324" i="5"/>
  <c r="O324" i="5"/>
  <c r="AB323" i="5"/>
  <c r="AA323" i="5"/>
  <c r="Z323" i="5"/>
  <c r="Y323" i="5"/>
  <c r="X323" i="5"/>
  <c r="W323" i="5"/>
  <c r="P323" i="5"/>
  <c r="O323" i="5"/>
  <c r="AB322" i="5"/>
  <c r="AA322" i="5"/>
  <c r="Z322" i="5"/>
  <c r="Y322" i="5"/>
  <c r="X322" i="5"/>
  <c r="W322" i="5"/>
  <c r="P322" i="5"/>
  <c r="O322" i="5"/>
  <c r="AB321" i="5"/>
  <c r="AA321" i="5"/>
  <c r="Z321" i="5"/>
  <c r="Y321" i="5"/>
  <c r="X321" i="5"/>
  <c r="W321" i="5"/>
  <c r="P321" i="5"/>
  <c r="O321" i="5"/>
  <c r="AB320" i="5"/>
  <c r="AA320" i="5"/>
  <c r="Z320" i="5"/>
  <c r="Y320" i="5"/>
  <c r="X320" i="5"/>
  <c r="W320" i="5"/>
  <c r="P320" i="5"/>
  <c r="O320" i="5"/>
  <c r="AB319" i="5"/>
  <c r="AA319" i="5"/>
  <c r="Z319" i="5"/>
  <c r="Y319" i="5"/>
  <c r="X319" i="5"/>
  <c r="W319" i="5"/>
  <c r="P319" i="5"/>
  <c r="O319" i="5"/>
  <c r="AB318" i="5"/>
  <c r="AA318" i="5"/>
  <c r="Z318" i="5"/>
  <c r="Y318" i="5"/>
  <c r="X318" i="5"/>
  <c r="W318" i="5"/>
  <c r="P318" i="5"/>
  <c r="O318" i="5"/>
  <c r="AB317" i="5"/>
  <c r="AA317" i="5"/>
  <c r="Z317" i="5"/>
  <c r="Y317" i="5"/>
  <c r="X317" i="5"/>
  <c r="W317" i="5"/>
  <c r="P317" i="5"/>
  <c r="O317" i="5"/>
  <c r="AB316" i="5"/>
  <c r="AA316" i="5"/>
  <c r="Z316" i="5"/>
  <c r="Y316" i="5"/>
  <c r="X316" i="5"/>
  <c r="W316" i="5"/>
  <c r="P316" i="5"/>
  <c r="O316" i="5"/>
  <c r="AB315" i="5"/>
  <c r="AA315" i="5"/>
  <c r="Z315" i="5"/>
  <c r="Y315" i="5"/>
  <c r="X315" i="5"/>
  <c r="W315" i="5"/>
  <c r="P315" i="5"/>
  <c r="O315" i="5"/>
  <c r="AB314" i="5"/>
  <c r="AA314" i="5"/>
  <c r="Z314" i="5"/>
  <c r="Y314" i="5"/>
  <c r="X314" i="5"/>
  <c r="W314" i="5"/>
  <c r="P314" i="5"/>
  <c r="O314" i="5"/>
  <c r="AB313" i="5"/>
  <c r="AA313" i="5"/>
  <c r="Z313" i="5"/>
  <c r="Y313" i="5"/>
  <c r="X313" i="5"/>
  <c r="W313" i="5"/>
  <c r="P313" i="5"/>
  <c r="O313" i="5"/>
  <c r="AB312" i="5"/>
  <c r="AA312" i="5"/>
  <c r="Z312" i="5"/>
  <c r="Y312" i="5"/>
  <c r="X312" i="5"/>
  <c r="W312" i="5"/>
  <c r="P312" i="5"/>
  <c r="O312" i="5"/>
  <c r="AB311" i="5"/>
  <c r="AA311" i="5"/>
  <c r="Z311" i="5"/>
  <c r="Y311" i="5"/>
  <c r="X311" i="5"/>
  <c r="W311" i="5"/>
  <c r="P311" i="5"/>
  <c r="O311" i="5"/>
  <c r="AB310" i="5"/>
  <c r="AA310" i="5"/>
  <c r="Z310" i="5"/>
  <c r="Y310" i="5"/>
  <c r="X310" i="5"/>
  <c r="W310" i="5"/>
  <c r="P310" i="5"/>
  <c r="O310" i="5"/>
  <c r="AB309" i="5"/>
  <c r="AA309" i="5"/>
  <c r="Z309" i="5"/>
  <c r="Y309" i="5"/>
  <c r="X309" i="5"/>
  <c r="W309" i="5"/>
  <c r="P309" i="5"/>
  <c r="O309" i="5"/>
  <c r="AB308" i="5"/>
  <c r="AA308" i="5"/>
  <c r="Z308" i="5"/>
  <c r="Y308" i="5"/>
  <c r="X308" i="5"/>
  <c r="W308" i="5"/>
  <c r="P308" i="5"/>
  <c r="O308" i="5"/>
  <c r="AB307" i="5"/>
  <c r="AA307" i="5"/>
  <c r="Z307" i="5"/>
  <c r="Y307" i="5"/>
  <c r="X307" i="5"/>
  <c r="W307" i="5"/>
  <c r="P307" i="5"/>
  <c r="O307" i="5"/>
  <c r="AB306" i="5"/>
  <c r="AA306" i="5"/>
  <c r="Z306" i="5"/>
  <c r="Y306" i="5"/>
  <c r="X306" i="5"/>
  <c r="W306" i="5"/>
  <c r="P306" i="5"/>
  <c r="O306" i="5"/>
  <c r="AB305" i="5"/>
  <c r="AA305" i="5"/>
  <c r="Z305" i="5"/>
  <c r="Y305" i="5"/>
  <c r="X305" i="5"/>
  <c r="W305" i="5"/>
  <c r="P305" i="5"/>
  <c r="O305" i="5"/>
  <c r="AB304" i="5"/>
  <c r="AA304" i="5"/>
  <c r="Z304" i="5"/>
  <c r="Y304" i="5"/>
  <c r="X304" i="5"/>
  <c r="W304" i="5"/>
  <c r="P304" i="5"/>
  <c r="O304" i="5"/>
  <c r="AB303" i="5"/>
  <c r="AA303" i="5"/>
  <c r="Z303" i="5"/>
  <c r="Y303" i="5"/>
  <c r="X303" i="5"/>
  <c r="W303" i="5"/>
  <c r="P303" i="5"/>
  <c r="O303" i="5"/>
  <c r="AB302" i="5"/>
  <c r="AA302" i="5"/>
  <c r="Z302" i="5"/>
  <c r="Y302" i="5"/>
  <c r="X302" i="5"/>
  <c r="W302" i="5"/>
  <c r="P302" i="5"/>
  <c r="O302" i="5"/>
  <c r="AB301" i="5"/>
  <c r="AA301" i="5"/>
  <c r="Z301" i="5"/>
  <c r="Y301" i="5"/>
  <c r="X301" i="5"/>
  <c r="W301" i="5"/>
  <c r="P301" i="5"/>
  <c r="O301" i="5"/>
  <c r="AB300" i="5"/>
  <c r="AA300" i="5"/>
  <c r="Z300" i="5"/>
  <c r="Y300" i="5"/>
  <c r="X300" i="5"/>
  <c r="W300" i="5"/>
  <c r="P300" i="5"/>
  <c r="O300" i="5"/>
  <c r="AB299" i="5"/>
  <c r="AA299" i="5"/>
  <c r="Z299" i="5"/>
  <c r="Y299" i="5"/>
  <c r="X299" i="5"/>
  <c r="W299" i="5"/>
  <c r="P299" i="5"/>
  <c r="O299" i="5"/>
  <c r="AB298" i="5"/>
  <c r="AA298" i="5"/>
  <c r="Z298" i="5"/>
  <c r="Y298" i="5"/>
  <c r="X298" i="5"/>
  <c r="W298" i="5"/>
  <c r="P298" i="5"/>
  <c r="O298" i="5"/>
  <c r="AB297" i="5"/>
  <c r="AA297" i="5"/>
  <c r="Z297" i="5"/>
  <c r="Y297" i="5"/>
  <c r="X297" i="5"/>
  <c r="W297" i="5"/>
  <c r="P297" i="5"/>
  <c r="O297" i="5"/>
  <c r="AB296" i="5"/>
  <c r="AA296" i="5"/>
  <c r="Z296" i="5"/>
  <c r="Y296" i="5"/>
  <c r="X296" i="5"/>
  <c r="W296" i="5"/>
  <c r="P296" i="5"/>
  <c r="O296" i="5"/>
  <c r="AB295" i="5"/>
  <c r="AA295" i="5"/>
  <c r="Z295" i="5"/>
  <c r="Y295" i="5"/>
  <c r="X295" i="5"/>
  <c r="W295" i="5"/>
  <c r="P295" i="5"/>
  <c r="O295" i="5"/>
  <c r="AB294" i="5"/>
  <c r="AA294" i="5"/>
  <c r="Z294" i="5"/>
  <c r="Y294" i="5"/>
  <c r="X294" i="5"/>
  <c r="W294" i="5"/>
  <c r="P294" i="5"/>
  <c r="O294" i="5"/>
  <c r="AB293" i="5"/>
  <c r="AA293" i="5"/>
  <c r="Z293" i="5"/>
  <c r="Y293" i="5"/>
  <c r="X293" i="5"/>
  <c r="W293" i="5"/>
  <c r="P293" i="5"/>
  <c r="O293" i="5"/>
  <c r="AB292" i="5"/>
  <c r="AA292" i="5"/>
  <c r="Z292" i="5"/>
  <c r="Y292" i="5"/>
  <c r="X292" i="5"/>
  <c r="W292" i="5"/>
  <c r="P292" i="5"/>
  <c r="O292" i="5"/>
  <c r="AB291" i="5"/>
  <c r="AA291" i="5"/>
  <c r="Z291" i="5"/>
  <c r="Y291" i="5"/>
  <c r="X291" i="5"/>
  <c r="W291" i="5"/>
  <c r="P291" i="5"/>
  <c r="O291" i="5"/>
  <c r="AB290" i="5"/>
  <c r="AA290" i="5"/>
  <c r="Z290" i="5"/>
  <c r="Y290" i="5"/>
  <c r="X290" i="5"/>
  <c r="W290" i="5"/>
  <c r="P290" i="5"/>
  <c r="O290" i="5"/>
  <c r="AB289" i="5"/>
  <c r="AA289" i="5"/>
  <c r="Z289" i="5"/>
  <c r="Y289" i="5"/>
  <c r="X289" i="5"/>
  <c r="W289" i="5"/>
  <c r="P289" i="5"/>
  <c r="O289" i="5"/>
  <c r="AB288" i="5"/>
  <c r="AA288" i="5"/>
  <c r="Z288" i="5"/>
  <c r="Y288" i="5"/>
  <c r="X288" i="5"/>
  <c r="W288" i="5"/>
  <c r="P288" i="5"/>
  <c r="O288" i="5"/>
  <c r="AB287" i="5"/>
  <c r="AA287" i="5"/>
  <c r="Z287" i="5"/>
  <c r="Y287" i="5"/>
  <c r="X287" i="5"/>
  <c r="W287" i="5"/>
  <c r="P287" i="5"/>
  <c r="O287" i="5"/>
  <c r="AB286" i="5"/>
  <c r="AA286" i="5"/>
  <c r="Z286" i="5"/>
  <c r="Y286" i="5"/>
  <c r="X286" i="5"/>
  <c r="W286" i="5"/>
  <c r="P286" i="5"/>
  <c r="O286" i="5"/>
  <c r="AB285" i="5"/>
  <c r="AA285" i="5"/>
  <c r="Z285" i="5"/>
  <c r="Y285" i="5"/>
  <c r="X285" i="5"/>
  <c r="W285" i="5"/>
  <c r="P285" i="5"/>
  <c r="O285" i="5"/>
  <c r="AB284" i="5"/>
  <c r="AA284" i="5"/>
  <c r="Z284" i="5"/>
  <c r="Y284" i="5"/>
  <c r="X284" i="5"/>
  <c r="W284" i="5"/>
  <c r="P284" i="5"/>
  <c r="O284" i="5"/>
  <c r="AB283" i="5"/>
  <c r="AA283" i="5"/>
  <c r="Z283" i="5"/>
  <c r="Y283" i="5"/>
  <c r="X283" i="5"/>
  <c r="W283" i="5"/>
  <c r="P283" i="5"/>
  <c r="O283" i="5"/>
  <c r="AB282" i="5"/>
  <c r="AA282" i="5"/>
  <c r="Z282" i="5"/>
  <c r="Y282" i="5"/>
  <c r="X282" i="5"/>
  <c r="W282" i="5"/>
  <c r="P282" i="5"/>
  <c r="O282" i="5"/>
  <c r="AB281" i="5"/>
  <c r="AA281" i="5"/>
  <c r="Z281" i="5"/>
  <c r="Y281" i="5"/>
  <c r="X281" i="5"/>
  <c r="W281" i="5"/>
  <c r="P281" i="5"/>
  <c r="O281" i="5"/>
  <c r="AB280" i="5"/>
  <c r="AA280" i="5"/>
  <c r="Z280" i="5"/>
  <c r="Y280" i="5"/>
  <c r="X280" i="5"/>
  <c r="W280" i="5"/>
  <c r="P280" i="5"/>
  <c r="O280" i="5"/>
  <c r="AB279" i="5"/>
  <c r="AA279" i="5"/>
  <c r="Z279" i="5"/>
  <c r="Y279" i="5"/>
  <c r="X279" i="5"/>
  <c r="W279" i="5"/>
  <c r="P279" i="5"/>
  <c r="O279" i="5"/>
  <c r="AB278" i="5"/>
  <c r="AA278" i="5"/>
  <c r="Z278" i="5"/>
  <c r="Y278" i="5"/>
  <c r="X278" i="5"/>
  <c r="W278" i="5"/>
  <c r="P278" i="5"/>
  <c r="O278" i="5"/>
  <c r="AB277" i="5"/>
  <c r="AA277" i="5"/>
  <c r="Z277" i="5"/>
  <c r="Y277" i="5"/>
  <c r="X277" i="5"/>
  <c r="W277" i="5"/>
  <c r="P277" i="5"/>
  <c r="O277" i="5"/>
  <c r="AB276" i="5"/>
  <c r="AA276" i="5"/>
  <c r="Z276" i="5"/>
  <c r="Y276" i="5"/>
  <c r="X276" i="5"/>
  <c r="W276" i="5"/>
  <c r="P276" i="5"/>
  <c r="O276" i="5"/>
  <c r="AB275" i="5"/>
  <c r="AA275" i="5"/>
  <c r="Z275" i="5"/>
  <c r="Y275" i="5"/>
  <c r="X275" i="5"/>
  <c r="W275" i="5"/>
  <c r="P275" i="5"/>
  <c r="O275" i="5"/>
  <c r="AB274" i="5"/>
  <c r="AA274" i="5"/>
  <c r="Z274" i="5"/>
  <c r="Y274" i="5"/>
  <c r="X274" i="5"/>
  <c r="W274" i="5"/>
  <c r="P274" i="5"/>
  <c r="O274" i="5"/>
  <c r="AB273" i="5"/>
  <c r="AA273" i="5"/>
  <c r="Z273" i="5"/>
  <c r="Y273" i="5"/>
  <c r="X273" i="5"/>
  <c r="W273" i="5"/>
  <c r="P273" i="5"/>
  <c r="O273" i="5"/>
  <c r="AB272" i="5"/>
  <c r="AA272" i="5"/>
  <c r="Z272" i="5"/>
  <c r="Y272" i="5"/>
  <c r="X272" i="5"/>
  <c r="W272" i="5"/>
  <c r="P272" i="5"/>
  <c r="O272" i="5"/>
  <c r="AB271" i="5"/>
  <c r="AA271" i="5"/>
  <c r="Z271" i="5"/>
  <c r="Y271" i="5"/>
  <c r="X271" i="5"/>
  <c r="W271" i="5"/>
  <c r="P271" i="5"/>
  <c r="O271" i="5"/>
  <c r="AB270" i="5"/>
  <c r="AA270" i="5"/>
  <c r="Z270" i="5"/>
  <c r="Y270" i="5"/>
  <c r="X270" i="5"/>
  <c r="W270" i="5"/>
  <c r="P270" i="5"/>
  <c r="O270" i="5"/>
  <c r="AB269" i="5"/>
  <c r="AA269" i="5"/>
  <c r="Z269" i="5"/>
  <c r="Y269" i="5"/>
  <c r="X269" i="5"/>
  <c r="W269" i="5"/>
  <c r="P269" i="5"/>
  <c r="O269" i="5"/>
  <c r="AB268" i="5"/>
  <c r="AA268" i="5"/>
  <c r="Z268" i="5"/>
  <c r="Y268" i="5"/>
  <c r="X268" i="5"/>
  <c r="W268" i="5"/>
  <c r="P268" i="5"/>
  <c r="O268" i="5"/>
  <c r="AB267" i="5"/>
  <c r="AA267" i="5"/>
  <c r="Z267" i="5"/>
  <c r="Y267" i="5"/>
  <c r="X267" i="5"/>
  <c r="W267" i="5"/>
  <c r="P267" i="5"/>
  <c r="O267" i="5"/>
  <c r="AB266" i="5"/>
  <c r="AA266" i="5"/>
  <c r="Z266" i="5"/>
  <c r="Y266" i="5"/>
  <c r="X266" i="5"/>
  <c r="W266" i="5"/>
  <c r="P266" i="5"/>
  <c r="O266" i="5"/>
  <c r="AB265" i="5"/>
  <c r="AA265" i="5"/>
  <c r="Z265" i="5"/>
  <c r="Y265" i="5"/>
  <c r="X265" i="5"/>
  <c r="W265" i="5"/>
  <c r="P265" i="5"/>
  <c r="O265" i="5"/>
  <c r="AB264" i="5"/>
  <c r="AA264" i="5"/>
  <c r="Z264" i="5"/>
  <c r="Y264" i="5"/>
  <c r="X264" i="5"/>
  <c r="W264" i="5"/>
  <c r="P264" i="5"/>
  <c r="O264" i="5"/>
  <c r="AB263" i="5"/>
  <c r="AA263" i="5"/>
  <c r="Z263" i="5"/>
  <c r="Y263" i="5"/>
  <c r="X263" i="5"/>
  <c r="W263" i="5"/>
  <c r="P263" i="5"/>
  <c r="O263" i="5"/>
  <c r="AB262" i="5"/>
  <c r="AA262" i="5"/>
  <c r="Z262" i="5"/>
  <c r="Y262" i="5"/>
  <c r="X262" i="5"/>
  <c r="W262" i="5"/>
  <c r="P262" i="5"/>
  <c r="O262" i="5"/>
  <c r="AB261" i="5"/>
  <c r="AA261" i="5"/>
  <c r="Z261" i="5"/>
  <c r="Y261" i="5"/>
  <c r="X261" i="5"/>
  <c r="W261" i="5"/>
  <c r="P261" i="5"/>
  <c r="O261" i="5"/>
  <c r="AB260" i="5"/>
  <c r="AA260" i="5"/>
  <c r="Z260" i="5"/>
  <c r="Y260" i="5"/>
  <c r="X260" i="5"/>
  <c r="W260" i="5"/>
  <c r="P260" i="5"/>
  <c r="O260" i="5"/>
  <c r="AB259" i="5"/>
  <c r="AA259" i="5"/>
  <c r="Z259" i="5"/>
  <c r="Y259" i="5"/>
  <c r="X259" i="5"/>
  <c r="W259" i="5"/>
  <c r="P259" i="5"/>
  <c r="O259" i="5"/>
  <c r="AB258" i="5"/>
  <c r="AA258" i="5"/>
  <c r="Z258" i="5"/>
  <c r="Y258" i="5"/>
  <c r="X258" i="5"/>
  <c r="W258" i="5"/>
  <c r="P258" i="5"/>
  <c r="O258" i="5"/>
  <c r="AB257" i="5"/>
  <c r="AA257" i="5"/>
  <c r="Z257" i="5"/>
  <c r="Y257" i="5"/>
  <c r="X257" i="5"/>
  <c r="W257" i="5"/>
  <c r="P257" i="5"/>
  <c r="O257" i="5"/>
  <c r="AB256" i="5"/>
  <c r="AA256" i="5"/>
  <c r="Z256" i="5"/>
  <c r="Y256" i="5"/>
  <c r="X256" i="5"/>
  <c r="W256" i="5"/>
  <c r="P256" i="5"/>
  <c r="O256" i="5"/>
  <c r="AB255" i="5"/>
  <c r="AA255" i="5"/>
  <c r="Z255" i="5"/>
  <c r="Y255" i="5"/>
  <c r="X255" i="5"/>
  <c r="W255" i="5"/>
  <c r="P255" i="5"/>
  <c r="O255" i="5"/>
  <c r="AB254" i="5"/>
  <c r="AA254" i="5"/>
  <c r="Z254" i="5"/>
  <c r="Y254" i="5"/>
  <c r="X254" i="5"/>
  <c r="W254" i="5"/>
  <c r="P254" i="5"/>
  <c r="O254" i="5"/>
  <c r="AB253" i="5"/>
  <c r="AA253" i="5"/>
  <c r="Z253" i="5"/>
  <c r="Y253" i="5"/>
  <c r="X253" i="5"/>
  <c r="W253" i="5"/>
  <c r="P253" i="5"/>
  <c r="O253" i="5"/>
  <c r="AB252" i="5"/>
  <c r="AA252" i="5"/>
  <c r="Z252" i="5"/>
  <c r="Y252" i="5"/>
  <c r="X252" i="5"/>
  <c r="W252" i="5"/>
  <c r="P252" i="5"/>
  <c r="O252" i="5"/>
  <c r="AB251" i="5"/>
  <c r="AA251" i="5"/>
  <c r="Z251" i="5"/>
  <c r="Y251" i="5"/>
  <c r="X251" i="5"/>
  <c r="W251" i="5"/>
  <c r="P251" i="5"/>
  <c r="O251" i="5"/>
  <c r="AB250" i="5"/>
  <c r="AA250" i="5"/>
  <c r="Z250" i="5"/>
  <c r="Y250" i="5"/>
  <c r="X250" i="5"/>
  <c r="W250" i="5"/>
  <c r="P250" i="5"/>
  <c r="O250" i="5"/>
  <c r="AB249" i="5"/>
  <c r="AA249" i="5"/>
  <c r="Z249" i="5"/>
  <c r="Y249" i="5"/>
  <c r="X249" i="5"/>
  <c r="W249" i="5"/>
  <c r="P249" i="5"/>
  <c r="O249" i="5"/>
  <c r="AB248" i="5"/>
  <c r="AA248" i="5"/>
  <c r="Z248" i="5"/>
  <c r="Y248" i="5"/>
  <c r="X248" i="5"/>
  <c r="W248" i="5"/>
  <c r="P248" i="5"/>
  <c r="O248" i="5"/>
  <c r="AB247" i="5"/>
  <c r="AA247" i="5"/>
  <c r="Z247" i="5"/>
  <c r="Y247" i="5"/>
  <c r="X247" i="5"/>
  <c r="W247" i="5"/>
  <c r="P247" i="5"/>
  <c r="O247" i="5"/>
  <c r="AB246" i="5"/>
  <c r="AA246" i="5"/>
  <c r="Z246" i="5"/>
  <c r="Y246" i="5"/>
  <c r="X246" i="5"/>
  <c r="W246" i="5"/>
  <c r="P246" i="5"/>
  <c r="O246" i="5"/>
  <c r="AB245" i="5"/>
  <c r="AA245" i="5"/>
  <c r="Z245" i="5"/>
  <c r="Y245" i="5"/>
  <c r="X245" i="5"/>
  <c r="W245" i="5"/>
  <c r="P245" i="5"/>
  <c r="O245" i="5"/>
  <c r="AB244" i="5"/>
  <c r="AA244" i="5"/>
  <c r="Z244" i="5"/>
  <c r="Y244" i="5"/>
  <c r="X244" i="5"/>
  <c r="W244" i="5"/>
  <c r="P244" i="5"/>
  <c r="O244" i="5"/>
  <c r="AB243" i="5"/>
  <c r="AA243" i="5"/>
  <c r="Z243" i="5"/>
  <c r="Y243" i="5"/>
  <c r="X243" i="5"/>
  <c r="W243" i="5"/>
  <c r="P243" i="5"/>
  <c r="O243" i="5"/>
  <c r="AB242" i="5"/>
  <c r="AA242" i="5"/>
  <c r="Z242" i="5"/>
  <c r="Y242" i="5"/>
  <c r="X242" i="5"/>
  <c r="W242" i="5"/>
  <c r="P242" i="5"/>
  <c r="O242" i="5"/>
  <c r="AB241" i="5"/>
  <c r="AA241" i="5"/>
  <c r="Z241" i="5"/>
  <c r="Y241" i="5"/>
  <c r="X241" i="5"/>
  <c r="W241" i="5"/>
  <c r="P241" i="5"/>
  <c r="O241" i="5"/>
  <c r="AB240" i="5"/>
  <c r="AA240" i="5"/>
  <c r="Z240" i="5"/>
  <c r="Y240" i="5"/>
  <c r="X240" i="5"/>
  <c r="W240" i="5"/>
  <c r="P240" i="5"/>
  <c r="O240" i="5"/>
  <c r="AB239" i="5"/>
  <c r="AA239" i="5"/>
  <c r="Z239" i="5"/>
  <c r="Y239" i="5"/>
  <c r="X239" i="5"/>
  <c r="W239" i="5"/>
  <c r="P239" i="5"/>
  <c r="O239" i="5"/>
  <c r="AB238" i="5"/>
  <c r="AA238" i="5"/>
  <c r="Z238" i="5"/>
  <c r="Y238" i="5"/>
  <c r="X238" i="5"/>
  <c r="W238" i="5"/>
  <c r="P238" i="5"/>
  <c r="O238" i="5"/>
  <c r="AB237" i="5"/>
  <c r="AA237" i="5"/>
  <c r="Z237" i="5"/>
  <c r="Y237" i="5"/>
  <c r="X237" i="5"/>
  <c r="W237" i="5"/>
  <c r="P237" i="5"/>
  <c r="O237" i="5"/>
  <c r="AB236" i="5"/>
  <c r="AA236" i="5"/>
  <c r="Z236" i="5"/>
  <c r="Y236" i="5"/>
  <c r="X236" i="5"/>
  <c r="W236" i="5"/>
  <c r="P236" i="5"/>
  <c r="O236" i="5"/>
  <c r="AB235" i="5"/>
  <c r="AA235" i="5"/>
  <c r="Z235" i="5"/>
  <c r="Y235" i="5"/>
  <c r="X235" i="5"/>
  <c r="W235" i="5"/>
  <c r="P235" i="5"/>
  <c r="O235" i="5"/>
  <c r="AB234" i="5"/>
  <c r="AA234" i="5"/>
  <c r="Z234" i="5"/>
  <c r="Y234" i="5"/>
  <c r="X234" i="5"/>
  <c r="W234" i="5"/>
  <c r="P234" i="5"/>
  <c r="O234" i="5"/>
  <c r="AB233" i="5"/>
  <c r="AA233" i="5"/>
  <c r="Z233" i="5"/>
  <c r="Y233" i="5"/>
  <c r="X233" i="5"/>
  <c r="W233" i="5"/>
  <c r="P233" i="5"/>
  <c r="O233" i="5"/>
  <c r="AB232" i="5"/>
  <c r="AA232" i="5"/>
  <c r="Z232" i="5"/>
  <c r="Y232" i="5"/>
  <c r="X232" i="5"/>
  <c r="W232" i="5"/>
  <c r="P232" i="5"/>
  <c r="O232" i="5"/>
  <c r="AB231" i="5"/>
  <c r="AA231" i="5"/>
  <c r="Z231" i="5"/>
  <c r="Y231" i="5"/>
  <c r="X231" i="5"/>
  <c r="W231" i="5"/>
  <c r="P231" i="5"/>
  <c r="O231" i="5"/>
  <c r="AB230" i="5"/>
  <c r="AA230" i="5"/>
  <c r="Z230" i="5"/>
  <c r="Y230" i="5"/>
  <c r="X230" i="5"/>
  <c r="W230" i="5"/>
  <c r="P230" i="5"/>
  <c r="O230" i="5"/>
  <c r="AB229" i="5"/>
  <c r="AA229" i="5"/>
  <c r="Z229" i="5"/>
  <c r="Y229" i="5"/>
  <c r="X229" i="5"/>
  <c r="W229" i="5"/>
  <c r="P229" i="5"/>
  <c r="O229" i="5"/>
  <c r="AB228" i="5"/>
  <c r="AA228" i="5"/>
  <c r="Z228" i="5"/>
  <c r="Y228" i="5"/>
  <c r="X228" i="5"/>
  <c r="W228" i="5"/>
  <c r="P228" i="5"/>
  <c r="O228" i="5"/>
  <c r="AB227" i="5"/>
  <c r="AA227" i="5"/>
  <c r="Z227" i="5"/>
  <c r="Y227" i="5"/>
  <c r="X227" i="5"/>
  <c r="W227" i="5"/>
  <c r="P227" i="5"/>
  <c r="O227" i="5"/>
  <c r="AB226" i="5"/>
  <c r="AA226" i="5"/>
  <c r="Z226" i="5"/>
  <c r="Y226" i="5"/>
  <c r="X226" i="5"/>
  <c r="W226" i="5"/>
  <c r="P226" i="5"/>
  <c r="O226" i="5"/>
  <c r="AB225" i="5"/>
  <c r="AA225" i="5"/>
  <c r="Z225" i="5"/>
  <c r="Y225" i="5"/>
  <c r="X225" i="5"/>
  <c r="W225" i="5"/>
  <c r="P225" i="5"/>
  <c r="O225" i="5"/>
  <c r="AB224" i="5"/>
  <c r="AA224" i="5"/>
  <c r="Z224" i="5"/>
  <c r="Y224" i="5"/>
  <c r="X224" i="5"/>
  <c r="W224" i="5"/>
  <c r="P224" i="5"/>
  <c r="O224" i="5"/>
  <c r="AB223" i="5"/>
  <c r="AA223" i="5"/>
  <c r="Z223" i="5"/>
  <c r="Y223" i="5"/>
  <c r="X223" i="5"/>
  <c r="W223" i="5"/>
  <c r="P223" i="5"/>
  <c r="O223" i="5"/>
  <c r="AB222" i="5"/>
  <c r="AA222" i="5"/>
  <c r="Z222" i="5"/>
  <c r="Y222" i="5"/>
  <c r="X222" i="5"/>
  <c r="W222" i="5"/>
  <c r="P222" i="5"/>
  <c r="O222" i="5"/>
  <c r="AB221" i="5"/>
  <c r="AA221" i="5"/>
  <c r="Z221" i="5"/>
  <c r="Y221" i="5"/>
  <c r="X221" i="5"/>
  <c r="W221" i="5"/>
  <c r="P221" i="5"/>
  <c r="O221" i="5"/>
  <c r="AB220" i="5"/>
  <c r="AA220" i="5"/>
  <c r="Z220" i="5"/>
  <c r="Y220" i="5"/>
  <c r="X220" i="5"/>
  <c r="W220" i="5"/>
  <c r="P220" i="5"/>
  <c r="O220" i="5"/>
  <c r="AB219" i="5"/>
  <c r="AA219" i="5"/>
  <c r="Z219" i="5"/>
  <c r="Y219" i="5"/>
  <c r="X219" i="5"/>
  <c r="W219" i="5"/>
  <c r="P219" i="5"/>
  <c r="O219" i="5"/>
  <c r="AB218" i="5"/>
  <c r="AA218" i="5"/>
  <c r="Z218" i="5"/>
  <c r="Y218" i="5"/>
  <c r="X218" i="5"/>
  <c r="W218" i="5"/>
  <c r="P218" i="5"/>
  <c r="O218" i="5"/>
  <c r="AB217" i="5"/>
  <c r="AA217" i="5"/>
  <c r="Z217" i="5"/>
  <c r="Y217" i="5"/>
  <c r="X217" i="5"/>
  <c r="W217" i="5"/>
  <c r="P217" i="5"/>
  <c r="O217" i="5"/>
  <c r="AB216" i="5"/>
  <c r="AA216" i="5"/>
  <c r="Z216" i="5"/>
  <c r="Y216" i="5"/>
  <c r="X216" i="5"/>
  <c r="W216" i="5"/>
  <c r="P216" i="5"/>
  <c r="O216" i="5"/>
  <c r="AB215" i="5"/>
  <c r="AA215" i="5"/>
  <c r="Z215" i="5"/>
  <c r="Y215" i="5"/>
  <c r="X215" i="5"/>
  <c r="W215" i="5"/>
  <c r="P215" i="5"/>
  <c r="O215" i="5"/>
  <c r="AB214" i="5"/>
  <c r="AA214" i="5"/>
  <c r="Z214" i="5"/>
  <c r="Y214" i="5"/>
  <c r="X214" i="5"/>
  <c r="W214" i="5"/>
  <c r="P214" i="5"/>
  <c r="O214" i="5"/>
  <c r="AB213" i="5"/>
  <c r="AA213" i="5"/>
  <c r="Z213" i="5"/>
  <c r="Y213" i="5"/>
  <c r="X213" i="5"/>
  <c r="W213" i="5"/>
  <c r="P213" i="5"/>
  <c r="O213" i="5"/>
  <c r="AB212" i="5"/>
  <c r="AA212" i="5"/>
  <c r="Z212" i="5"/>
  <c r="Y212" i="5"/>
  <c r="X212" i="5"/>
  <c r="W212" i="5"/>
  <c r="P212" i="5"/>
  <c r="O212" i="5"/>
  <c r="AB211" i="5"/>
  <c r="AA211" i="5"/>
  <c r="Z211" i="5"/>
  <c r="Y211" i="5"/>
  <c r="X211" i="5"/>
  <c r="W211" i="5"/>
  <c r="P211" i="5"/>
  <c r="O211" i="5"/>
  <c r="AB210" i="5"/>
  <c r="AA210" i="5"/>
  <c r="Z210" i="5"/>
  <c r="Y210" i="5"/>
  <c r="X210" i="5"/>
  <c r="W210" i="5"/>
  <c r="P210" i="5"/>
  <c r="O210" i="5"/>
  <c r="AB209" i="5"/>
  <c r="AA209" i="5"/>
  <c r="Z209" i="5"/>
  <c r="Y209" i="5"/>
  <c r="X209" i="5"/>
  <c r="W209" i="5"/>
  <c r="P209" i="5"/>
  <c r="O209" i="5"/>
  <c r="AB208" i="5"/>
  <c r="AA208" i="5"/>
  <c r="Z208" i="5"/>
  <c r="Y208" i="5"/>
  <c r="X208" i="5"/>
  <c r="W208" i="5"/>
  <c r="P208" i="5"/>
  <c r="O208" i="5"/>
  <c r="AB207" i="5"/>
  <c r="AA207" i="5"/>
  <c r="Z207" i="5"/>
  <c r="Y207" i="5"/>
  <c r="X207" i="5"/>
  <c r="W207" i="5"/>
  <c r="P207" i="5"/>
  <c r="O207" i="5"/>
  <c r="AB206" i="5"/>
  <c r="AA206" i="5"/>
  <c r="Z206" i="5"/>
  <c r="Y206" i="5"/>
  <c r="X206" i="5"/>
  <c r="W206" i="5"/>
  <c r="P206" i="5"/>
  <c r="O206" i="5"/>
  <c r="AB205" i="5"/>
  <c r="AA205" i="5"/>
  <c r="Z205" i="5"/>
  <c r="Y205" i="5"/>
  <c r="X205" i="5"/>
  <c r="W205" i="5"/>
  <c r="P205" i="5"/>
  <c r="O205" i="5"/>
  <c r="AB204" i="5"/>
  <c r="AA204" i="5"/>
  <c r="Z204" i="5"/>
  <c r="Y204" i="5"/>
  <c r="X204" i="5"/>
  <c r="W204" i="5"/>
  <c r="P204" i="5"/>
  <c r="O204" i="5"/>
  <c r="AB203" i="5"/>
  <c r="AA203" i="5"/>
  <c r="Z203" i="5"/>
  <c r="Y203" i="5"/>
  <c r="X203" i="5"/>
  <c r="W203" i="5"/>
  <c r="P203" i="5"/>
  <c r="O203" i="5"/>
  <c r="AB202" i="5"/>
  <c r="AA202" i="5"/>
  <c r="Z202" i="5"/>
  <c r="Y202" i="5"/>
  <c r="X202" i="5"/>
  <c r="W202" i="5"/>
  <c r="P202" i="5"/>
  <c r="O202" i="5"/>
  <c r="AB201" i="5"/>
  <c r="AA201" i="5"/>
  <c r="Z201" i="5"/>
  <c r="Y201" i="5"/>
  <c r="X201" i="5"/>
  <c r="W201" i="5"/>
  <c r="P201" i="5"/>
  <c r="O201" i="5"/>
  <c r="AB200" i="5"/>
  <c r="AA200" i="5"/>
  <c r="Z200" i="5"/>
  <c r="Y200" i="5"/>
  <c r="X200" i="5"/>
  <c r="W200" i="5"/>
  <c r="P200" i="5"/>
  <c r="O200" i="5"/>
  <c r="AB199" i="5"/>
  <c r="AA199" i="5"/>
  <c r="Z199" i="5"/>
  <c r="Y199" i="5"/>
  <c r="X199" i="5"/>
  <c r="W199" i="5"/>
  <c r="P199" i="5"/>
  <c r="O199" i="5"/>
  <c r="AB198" i="5"/>
  <c r="AA198" i="5"/>
  <c r="Z198" i="5"/>
  <c r="Y198" i="5"/>
  <c r="X198" i="5"/>
  <c r="W198" i="5"/>
  <c r="P198" i="5"/>
  <c r="O198" i="5"/>
  <c r="AB197" i="5"/>
  <c r="AA197" i="5"/>
  <c r="Z197" i="5"/>
  <c r="Y197" i="5"/>
  <c r="X197" i="5"/>
  <c r="W197" i="5"/>
  <c r="P197" i="5"/>
  <c r="O197" i="5"/>
  <c r="AB196" i="5"/>
  <c r="AA196" i="5"/>
  <c r="Z196" i="5"/>
  <c r="Y196" i="5"/>
  <c r="X196" i="5"/>
  <c r="W196" i="5"/>
  <c r="P196" i="5"/>
  <c r="O196" i="5"/>
  <c r="AB195" i="5"/>
  <c r="AA195" i="5"/>
  <c r="Z195" i="5"/>
  <c r="Y195" i="5"/>
  <c r="X195" i="5"/>
  <c r="W195" i="5"/>
  <c r="P195" i="5"/>
  <c r="O195" i="5"/>
  <c r="AB194" i="5"/>
  <c r="AA194" i="5"/>
  <c r="Z194" i="5"/>
  <c r="Y194" i="5"/>
  <c r="X194" i="5"/>
  <c r="W194" i="5"/>
  <c r="P194" i="5"/>
  <c r="O194" i="5"/>
  <c r="AB193" i="5"/>
  <c r="AA193" i="5"/>
  <c r="Z193" i="5"/>
  <c r="Y193" i="5"/>
  <c r="X193" i="5"/>
  <c r="W193" i="5"/>
  <c r="P193" i="5"/>
  <c r="O193" i="5"/>
  <c r="AB192" i="5"/>
  <c r="AA192" i="5"/>
  <c r="Z192" i="5"/>
  <c r="Y192" i="5"/>
  <c r="X192" i="5"/>
  <c r="W192" i="5"/>
  <c r="P192" i="5"/>
  <c r="O192" i="5"/>
  <c r="AB191" i="5"/>
  <c r="AA191" i="5"/>
  <c r="Z191" i="5"/>
  <c r="Y191" i="5"/>
  <c r="X191" i="5"/>
  <c r="W191" i="5"/>
  <c r="P191" i="5"/>
  <c r="O191" i="5"/>
  <c r="AB190" i="5"/>
  <c r="AA190" i="5"/>
  <c r="Z190" i="5"/>
  <c r="Y190" i="5"/>
  <c r="X190" i="5"/>
  <c r="W190" i="5"/>
  <c r="P190" i="5"/>
  <c r="O190" i="5"/>
  <c r="AB189" i="5"/>
  <c r="AA189" i="5"/>
  <c r="Z189" i="5"/>
  <c r="Y189" i="5"/>
  <c r="X189" i="5"/>
  <c r="W189" i="5"/>
  <c r="P189" i="5"/>
  <c r="O189" i="5"/>
  <c r="AB188" i="5"/>
  <c r="AA188" i="5"/>
  <c r="Z188" i="5"/>
  <c r="Y188" i="5"/>
  <c r="X188" i="5"/>
  <c r="W188" i="5"/>
  <c r="P188" i="5"/>
  <c r="O188" i="5"/>
  <c r="AB187" i="5"/>
  <c r="AA187" i="5"/>
  <c r="Z187" i="5"/>
  <c r="Y187" i="5"/>
  <c r="X187" i="5"/>
  <c r="W187" i="5"/>
  <c r="P187" i="5"/>
  <c r="O187" i="5"/>
  <c r="AB186" i="5"/>
  <c r="AA186" i="5"/>
  <c r="Z186" i="5"/>
  <c r="Y186" i="5"/>
  <c r="X186" i="5"/>
  <c r="W186" i="5"/>
  <c r="P186" i="5"/>
  <c r="O186" i="5"/>
  <c r="AB185" i="5"/>
  <c r="AA185" i="5"/>
  <c r="Z185" i="5"/>
  <c r="Y185" i="5"/>
  <c r="X185" i="5"/>
  <c r="W185" i="5"/>
  <c r="P185" i="5"/>
  <c r="O185" i="5"/>
  <c r="AB184" i="5"/>
  <c r="AA184" i="5"/>
  <c r="Z184" i="5"/>
  <c r="Y184" i="5"/>
  <c r="X184" i="5"/>
  <c r="W184" i="5"/>
  <c r="P184" i="5"/>
  <c r="O184" i="5"/>
  <c r="AB183" i="5"/>
  <c r="AA183" i="5"/>
  <c r="Z183" i="5"/>
  <c r="Y183" i="5"/>
  <c r="X183" i="5"/>
  <c r="W183" i="5"/>
  <c r="P183" i="5"/>
  <c r="O183" i="5"/>
  <c r="AB182" i="5"/>
  <c r="AA182" i="5"/>
  <c r="Z182" i="5"/>
  <c r="Y182" i="5"/>
  <c r="X182" i="5"/>
  <c r="W182" i="5"/>
  <c r="P182" i="5"/>
  <c r="O182" i="5"/>
  <c r="AB181" i="5"/>
  <c r="AA181" i="5"/>
  <c r="Z181" i="5"/>
  <c r="Y181" i="5"/>
  <c r="X181" i="5"/>
  <c r="W181" i="5"/>
  <c r="P181" i="5"/>
  <c r="O181" i="5"/>
  <c r="AB180" i="5"/>
  <c r="AA180" i="5"/>
  <c r="Z180" i="5"/>
  <c r="Y180" i="5"/>
  <c r="X180" i="5"/>
  <c r="W180" i="5"/>
  <c r="P180" i="5"/>
  <c r="O180" i="5"/>
  <c r="AB179" i="5"/>
  <c r="AA179" i="5"/>
  <c r="Z179" i="5"/>
  <c r="Y179" i="5"/>
  <c r="X179" i="5"/>
  <c r="W179" i="5"/>
  <c r="P179" i="5"/>
  <c r="O179" i="5"/>
  <c r="AB178" i="5"/>
  <c r="AA178" i="5"/>
  <c r="Z178" i="5"/>
  <c r="Y178" i="5"/>
  <c r="X178" i="5"/>
  <c r="W178" i="5"/>
  <c r="P178" i="5"/>
  <c r="O178" i="5"/>
  <c r="AB177" i="5"/>
  <c r="AA177" i="5"/>
  <c r="Z177" i="5"/>
  <c r="Y177" i="5"/>
  <c r="X177" i="5"/>
  <c r="W177" i="5"/>
  <c r="P177" i="5"/>
  <c r="O177" i="5"/>
  <c r="AB176" i="5"/>
  <c r="AA176" i="5"/>
  <c r="Z176" i="5"/>
  <c r="Y176" i="5"/>
  <c r="X176" i="5"/>
  <c r="W176" i="5"/>
  <c r="P176" i="5"/>
  <c r="O176" i="5"/>
  <c r="AB175" i="5"/>
  <c r="AA175" i="5"/>
  <c r="Z175" i="5"/>
  <c r="Y175" i="5"/>
  <c r="X175" i="5"/>
  <c r="W175" i="5"/>
  <c r="P175" i="5"/>
  <c r="O175" i="5"/>
  <c r="AB174" i="5"/>
  <c r="AA174" i="5"/>
  <c r="Z174" i="5"/>
  <c r="Y174" i="5"/>
  <c r="X174" i="5"/>
  <c r="W174" i="5"/>
  <c r="P174" i="5"/>
  <c r="O174" i="5"/>
  <c r="AB173" i="5"/>
  <c r="AA173" i="5"/>
  <c r="Z173" i="5"/>
  <c r="Y173" i="5"/>
  <c r="X173" i="5"/>
  <c r="W173" i="5"/>
  <c r="P173" i="5"/>
  <c r="O173" i="5"/>
  <c r="AB172" i="5"/>
  <c r="AA172" i="5"/>
  <c r="Z172" i="5"/>
  <c r="Y172" i="5"/>
  <c r="X172" i="5"/>
  <c r="W172" i="5"/>
  <c r="P172" i="5"/>
  <c r="O172" i="5"/>
  <c r="AB171" i="5"/>
  <c r="AA171" i="5"/>
  <c r="Z171" i="5"/>
  <c r="Y171" i="5"/>
  <c r="X171" i="5"/>
  <c r="W171" i="5"/>
  <c r="P171" i="5"/>
  <c r="O171" i="5"/>
  <c r="AB170" i="5"/>
  <c r="AA170" i="5"/>
  <c r="Z170" i="5"/>
  <c r="Y170" i="5"/>
  <c r="X170" i="5"/>
  <c r="W170" i="5"/>
  <c r="P170" i="5"/>
  <c r="O170" i="5"/>
  <c r="AB169" i="5"/>
  <c r="AA169" i="5"/>
  <c r="Z169" i="5"/>
  <c r="Y169" i="5"/>
  <c r="X169" i="5"/>
  <c r="W169" i="5"/>
  <c r="P169" i="5"/>
  <c r="O169" i="5"/>
  <c r="AB168" i="5"/>
  <c r="AA168" i="5"/>
  <c r="Z168" i="5"/>
  <c r="Y168" i="5"/>
  <c r="X168" i="5"/>
  <c r="W168" i="5"/>
  <c r="P168" i="5"/>
  <c r="O168" i="5"/>
  <c r="AB167" i="5"/>
  <c r="AA167" i="5"/>
  <c r="Z167" i="5"/>
  <c r="Y167" i="5"/>
  <c r="X167" i="5"/>
  <c r="W167" i="5"/>
  <c r="P167" i="5"/>
  <c r="O167" i="5"/>
  <c r="AB166" i="5"/>
  <c r="AA166" i="5"/>
  <c r="Z166" i="5"/>
  <c r="Y166" i="5"/>
  <c r="X166" i="5"/>
  <c r="W166" i="5"/>
  <c r="P166" i="5"/>
  <c r="O166" i="5"/>
  <c r="AB165" i="5"/>
  <c r="AA165" i="5"/>
  <c r="Z165" i="5"/>
  <c r="Y165" i="5"/>
  <c r="X165" i="5"/>
  <c r="W165" i="5"/>
  <c r="P165" i="5"/>
  <c r="O165" i="5"/>
  <c r="AB164" i="5"/>
  <c r="AA164" i="5"/>
  <c r="Z164" i="5"/>
  <c r="Y164" i="5"/>
  <c r="X164" i="5"/>
  <c r="W164" i="5"/>
  <c r="P164" i="5"/>
  <c r="O164" i="5"/>
  <c r="AB163" i="5"/>
  <c r="AA163" i="5"/>
  <c r="Z163" i="5"/>
  <c r="Y163" i="5"/>
  <c r="X163" i="5"/>
  <c r="W163" i="5"/>
  <c r="P163" i="5"/>
  <c r="O163" i="5"/>
  <c r="AB162" i="5"/>
  <c r="AA162" i="5"/>
  <c r="Z162" i="5"/>
  <c r="Y162" i="5"/>
  <c r="X162" i="5"/>
  <c r="W162" i="5"/>
  <c r="P162" i="5"/>
  <c r="O162" i="5"/>
  <c r="AB161" i="5"/>
  <c r="AA161" i="5"/>
  <c r="Z161" i="5"/>
  <c r="Y161" i="5"/>
  <c r="X161" i="5"/>
  <c r="W161" i="5"/>
  <c r="P161" i="5"/>
  <c r="O161" i="5"/>
  <c r="AB160" i="5"/>
  <c r="AA160" i="5"/>
  <c r="Z160" i="5"/>
  <c r="Y160" i="5"/>
  <c r="X160" i="5"/>
  <c r="W160" i="5"/>
  <c r="P160" i="5"/>
  <c r="O160" i="5"/>
  <c r="AB159" i="5"/>
  <c r="AA159" i="5"/>
  <c r="Z159" i="5"/>
  <c r="Y159" i="5"/>
  <c r="X159" i="5"/>
  <c r="W159" i="5"/>
  <c r="P159" i="5"/>
  <c r="O159" i="5"/>
  <c r="AB158" i="5"/>
  <c r="AA158" i="5"/>
  <c r="Z158" i="5"/>
  <c r="Y158" i="5"/>
  <c r="X158" i="5"/>
  <c r="W158" i="5"/>
  <c r="P158" i="5"/>
  <c r="O158" i="5"/>
  <c r="AB157" i="5"/>
  <c r="AA157" i="5"/>
  <c r="Z157" i="5"/>
  <c r="Y157" i="5"/>
  <c r="X157" i="5"/>
  <c r="W157" i="5"/>
  <c r="P157" i="5"/>
  <c r="O157" i="5"/>
  <c r="AB156" i="5"/>
  <c r="AA156" i="5"/>
  <c r="Z156" i="5"/>
  <c r="Y156" i="5"/>
  <c r="X156" i="5"/>
  <c r="W156" i="5"/>
  <c r="P156" i="5"/>
  <c r="O156" i="5"/>
  <c r="AB155" i="5"/>
  <c r="AA155" i="5"/>
  <c r="Z155" i="5"/>
  <c r="Y155" i="5"/>
  <c r="X155" i="5"/>
  <c r="W155" i="5"/>
  <c r="P155" i="5"/>
  <c r="O155" i="5"/>
  <c r="AB154" i="5"/>
  <c r="AA154" i="5"/>
  <c r="Z154" i="5"/>
  <c r="Y154" i="5"/>
  <c r="X154" i="5"/>
  <c r="W154" i="5"/>
  <c r="P154" i="5"/>
  <c r="O154" i="5"/>
  <c r="AB153" i="5"/>
  <c r="AA153" i="5"/>
  <c r="Z153" i="5"/>
  <c r="Y153" i="5"/>
  <c r="X153" i="5"/>
  <c r="W153" i="5"/>
  <c r="P153" i="5"/>
  <c r="O153" i="5"/>
  <c r="AB152" i="5"/>
  <c r="AA152" i="5"/>
  <c r="Z152" i="5"/>
  <c r="Y152" i="5"/>
  <c r="X152" i="5"/>
  <c r="W152" i="5"/>
  <c r="P152" i="5"/>
  <c r="O152" i="5"/>
  <c r="AB151" i="5"/>
  <c r="AA151" i="5"/>
  <c r="Z151" i="5"/>
  <c r="Y151" i="5"/>
  <c r="X151" i="5"/>
  <c r="W151" i="5"/>
  <c r="P151" i="5"/>
  <c r="O151" i="5"/>
  <c r="AB150" i="5"/>
  <c r="AA150" i="5"/>
  <c r="Z150" i="5"/>
  <c r="Y150" i="5"/>
  <c r="X150" i="5"/>
  <c r="W150" i="5"/>
  <c r="P150" i="5"/>
  <c r="O150" i="5"/>
  <c r="AB149" i="5"/>
  <c r="AA149" i="5"/>
  <c r="Z149" i="5"/>
  <c r="Y149" i="5"/>
  <c r="X149" i="5"/>
  <c r="W149" i="5"/>
  <c r="P149" i="5"/>
  <c r="O149" i="5"/>
  <c r="AB148" i="5"/>
  <c r="AA148" i="5"/>
  <c r="Z148" i="5"/>
  <c r="Y148" i="5"/>
  <c r="X148" i="5"/>
  <c r="W148" i="5"/>
  <c r="P148" i="5"/>
  <c r="O148" i="5"/>
  <c r="AB147" i="5"/>
  <c r="AA147" i="5"/>
  <c r="Z147" i="5"/>
  <c r="Y147" i="5"/>
  <c r="X147" i="5"/>
  <c r="W147" i="5"/>
  <c r="P147" i="5"/>
  <c r="O147" i="5"/>
  <c r="AB146" i="5"/>
  <c r="AA146" i="5"/>
  <c r="Z146" i="5"/>
  <c r="Y146" i="5"/>
  <c r="X146" i="5"/>
  <c r="W146" i="5"/>
  <c r="P146" i="5"/>
  <c r="O146" i="5"/>
  <c r="AB145" i="5"/>
  <c r="AA145" i="5"/>
  <c r="Z145" i="5"/>
  <c r="Y145" i="5"/>
  <c r="X145" i="5"/>
  <c r="W145" i="5"/>
  <c r="P145" i="5"/>
  <c r="O145" i="5"/>
  <c r="AB144" i="5"/>
  <c r="AA144" i="5"/>
  <c r="Z144" i="5"/>
  <c r="Y144" i="5"/>
  <c r="X144" i="5"/>
  <c r="W144" i="5"/>
  <c r="P144" i="5"/>
  <c r="O144" i="5"/>
  <c r="AB143" i="5"/>
  <c r="AA143" i="5"/>
  <c r="Z143" i="5"/>
  <c r="Y143" i="5"/>
  <c r="X143" i="5"/>
  <c r="W143" i="5"/>
  <c r="P143" i="5"/>
  <c r="O143" i="5"/>
  <c r="AB142" i="5"/>
  <c r="AA142" i="5"/>
  <c r="Z142" i="5"/>
  <c r="Y142" i="5"/>
  <c r="X142" i="5"/>
  <c r="W142" i="5"/>
  <c r="P142" i="5"/>
  <c r="O142" i="5"/>
  <c r="AB141" i="5"/>
  <c r="AA141" i="5"/>
  <c r="Z141" i="5"/>
  <c r="Y141" i="5"/>
  <c r="X141" i="5"/>
  <c r="W141" i="5"/>
  <c r="P141" i="5"/>
  <c r="O141" i="5"/>
  <c r="AB140" i="5"/>
  <c r="AA140" i="5"/>
  <c r="Z140" i="5"/>
  <c r="Y140" i="5"/>
  <c r="X140" i="5"/>
  <c r="W140" i="5"/>
  <c r="P140" i="5"/>
  <c r="O140" i="5"/>
  <c r="AB139" i="5"/>
  <c r="AA139" i="5"/>
  <c r="Z139" i="5"/>
  <c r="Y139" i="5"/>
  <c r="X139" i="5"/>
  <c r="W139" i="5"/>
  <c r="P139" i="5"/>
  <c r="O139" i="5"/>
  <c r="AB138" i="5"/>
  <c r="AA138" i="5"/>
  <c r="Z138" i="5"/>
  <c r="Y138" i="5"/>
  <c r="X138" i="5"/>
  <c r="W138" i="5"/>
  <c r="P138" i="5"/>
  <c r="O138" i="5"/>
  <c r="AB137" i="5"/>
  <c r="AA137" i="5"/>
  <c r="Z137" i="5"/>
  <c r="Y137" i="5"/>
  <c r="X137" i="5"/>
  <c r="W137" i="5"/>
  <c r="P137" i="5"/>
  <c r="O137" i="5"/>
  <c r="AB136" i="5"/>
  <c r="AA136" i="5"/>
  <c r="Z136" i="5"/>
  <c r="Y136" i="5"/>
  <c r="X136" i="5"/>
  <c r="W136" i="5"/>
  <c r="P136" i="5"/>
  <c r="O136" i="5"/>
  <c r="AB135" i="5"/>
  <c r="AA135" i="5"/>
  <c r="Z135" i="5"/>
  <c r="Y135" i="5"/>
  <c r="X135" i="5"/>
  <c r="W135" i="5"/>
  <c r="P135" i="5"/>
  <c r="O135" i="5"/>
  <c r="AB134" i="5"/>
  <c r="AA134" i="5"/>
  <c r="Z134" i="5"/>
  <c r="Y134" i="5"/>
  <c r="X134" i="5"/>
  <c r="W134" i="5"/>
  <c r="P134" i="5"/>
  <c r="O134" i="5"/>
  <c r="AB133" i="5"/>
  <c r="AA133" i="5"/>
  <c r="Z133" i="5"/>
  <c r="Y133" i="5"/>
  <c r="X133" i="5"/>
  <c r="W133" i="5"/>
  <c r="P133" i="5"/>
  <c r="O133" i="5"/>
  <c r="AB132" i="5"/>
  <c r="AA132" i="5"/>
  <c r="Z132" i="5"/>
  <c r="Y132" i="5"/>
  <c r="X132" i="5"/>
  <c r="W132" i="5"/>
  <c r="P132" i="5"/>
  <c r="O132" i="5"/>
  <c r="AB131" i="5"/>
  <c r="AA131" i="5"/>
  <c r="Z131" i="5"/>
  <c r="Y131" i="5"/>
  <c r="X131" i="5"/>
  <c r="W131" i="5"/>
  <c r="P131" i="5"/>
  <c r="O131" i="5"/>
  <c r="AB130" i="5"/>
  <c r="AA130" i="5"/>
  <c r="Z130" i="5"/>
  <c r="Y130" i="5"/>
  <c r="X130" i="5"/>
  <c r="W130" i="5"/>
  <c r="P130" i="5"/>
  <c r="O130" i="5"/>
  <c r="AB129" i="5"/>
  <c r="AA129" i="5"/>
  <c r="Z129" i="5"/>
  <c r="Y129" i="5"/>
  <c r="X129" i="5"/>
  <c r="W129" i="5"/>
  <c r="P129" i="5"/>
  <c r="O129" i="5"/>
  <c r="AB128" i="5"/>
  <c r="AA128" i="5"/>
  <c r="Z128" i="5"/>
  <c r="Y128" i="5"/>
  <c r="X128" i="5"/>
  <c r="W128" i="5"/>
  <c r="P128" i="5"/>
  <c r="O128" i="5"/>
  <c r="AB127" i="5"/>
  <c r="AA127" i="5"/>
  <c r="Z127" i="5"/>
  <c r="Y127" i="5"/>
  <c r="X127" i="5"/>
  <c r="W127" i="5"/>
  <c r="P127" i="5"/>
  <c r="O127" i="5"/>
  <c r="AB126" i="5"/>
  <c r="AA126" i="5"/>
  <c r="Z126" i="5"/>
  <c r="Y126" i="5"/>
  <c r="X126" i="5"/>
  <c r="W126" i="5"/>
  <c r="P126" i="5"/>
  <c r="O126" i="5"/>
  <c r="AB125" i="5"/>
  <c r="AA125" i="5"/>
  <c r="Z125" i="5"/>
  <c r="Y125" i="5"/>
  <c r="X125" i="5"/>
  <c r="W125" i="5"/>
  <c r="P125" i="5"/>
  <c r="O125" i="5"/>
  <c r="AB124" i="5"/>
  <c r="AA124" i="5"/>
  <c r="Z124" i="5"/>
  <c r="Y124" i="5"/>
  <c r="X124" i="5"/>
  <c r="W124" i="5"/>
  <c r="P124" i="5"/>
  <c r="O124" i="5"/>
  <c r="AB123" i="5"/>
  <c r="AA123" i="5"/>
  <c r="Z123" i="5"/>
  <c r="Y123" i="5"/>
  <c r="X123" i="5"/>
  <c r="W123" i="5"/>
  <c r="P123" i="5"/>
  <c r="O123" i="5"/>
  <c r="AB122" i="5"/>
  <c r="AA122" i="5"/>
  <c r="Z122" i="5"/>
  <c r="Y122" i="5"/>
  <c r="X122" i="5"/>
  <c r="W122" i="5"/>
  <c r="P122" i="5"/>
  <c r="O122" i="5"/>
  <c r="AB121" i="5"/>
  <c r="AA121" i="5"/>
  <c r="Z121" i="5"/>
  <c r="Y121" i="5"/>
  <c r="X121" i="5"/>
  <c r="W121" i="5"/>
  <c r="P121" i="5"/>
  <c r="O121" i="5"/>
  <c r="AB120" i="5"/>
  <c r="AA120" i="5"/>
  <c r="Z120" i="5"/>
  <c r="Y120" i="5"/>
  <c r="X120" i="5"/>
  <c r="W120" i="5"/>
  <c r="P120" i="5"/>
  <c r="O120" i="5"/>
  <c r="AB119" i="5"/>
  <c r="AA119" i="5"/>
  <c r="Z119" i="5"/>
  <c r="Y119" i="5"/>
  <c r="X119" i="5"/>
  <c r="W119" i="5"/>
  <c r="P119" i="5"/>
  <c r="O119" i="5"/>
  <c r="AB118" i="5"/>
  <c r="AA118" i="5"/>
  <c r="Z118" i="5"/>
  <c r="Y118" i="5"/>
  <c r="X118" i="5"/>
  <c r="W118" i="5"/>
  <c r="P118" i="5"/>
  <c r="O118" i="5"/>
  <c r="AB117" i="5"/>
  <c r="AA117" i="5"/>
  <c r="Z117" i="5"/>
  <c r="Y117" i="5"/>
  <c r="X117" i="5"/>
  <c r="W117" i="5"/>
  <c r="P117" i="5"/>
  <c r="O117" i="5"/>
  <c r="AB116" i="5"/>
  <c r="AA116" i="5"/>
  <c r="Z116" i="5"/>
  <c r="Y116" i="5"/>
  <c r="X116" i="5"/>
  <c r="W116" i="5"/>
  <c r="P116" i="5"/>
  <c r="O116" i="5"/>
  <c r="AB115" i="5"/>
  <c r="AA115" i="5"/>
  <c r="Z115" i="5"/>
  <c r="Y115" i="5"/>
  <c r="X115" i="5"/>
  <c r="W115" i="5"/>
  <c r="P115" i="5"/>
  <c r="O115" i="5"/>
  <c r="AB114" i="5"/>
  <c r="AA114" i="5"/>
  <c r="Z114" i="5"/>
  <c r="Y114" i="5"/>
  <c r="X114" i="5"/>
  <c r="W114" i="5"/>
  <c r="P114" i="5"/>
  <c r="O114" i="5"/>
  <c r="AB113" i="5"/>
  <c r="AA113" i="5"/>
  <c r="Z113" i="5"/>
  <c r="Y113" i="5"/>
  <c r="X113" i="5"/>
  <c r="W113" i="5"/>
  <c r="P113" i="5"/>
  <c r="O113" i="5"/>
  <c r="AB112" i="5"/>
  <c r="AA112" i="5"/>
  <c r="Z112" i="5"/>
  <c r="Y112" i="5"/>
  <c r="X112" i="5"/>
  <c r="W112" i="5"/>
  <c r="P112" i="5"/>
  <c r="O112" i="5"/>
  <c r="AB111" i="5"/>
  <c r="AA111" i="5"/>
  <c r="Z111" i="5"/>
  <c r="Y111" i="5"/>
  <c r="X111" i="5"/>
  <c r="W111" i="5"/>
  <c r="P111" i="5"/>
  <c r="O111" i="5"/>
  <c r="AB110" i="5"/>
  <c r="AA110" i="5"/>
  <c r="Z110" i="5"/>
  <c r="Y110" i="5"/>
  <c r="X110" i="5"/>
  <c r="W110" i="5"/>
  <c r="P110" i="5"/>
  <c r="O110" i="5"/>
  <c r="AB109" i="5"/>
  <c r="AA109" i="5"/>
  <c r="Z109" i="5"/>
  <c r="Y109" i="5"/>
  <c r="X109" i="5"/>
  <c r="W109" i="5"/>
  <c r="P109" i="5"/>
  <c r="O109" i="5"/>
  <c r="AB108" i="5"/>
  <c r="AA108" i="5"/>
  <c r="Z108" i="5"/>
  <c r="Y108" i="5"/>
  <c r="X108" i="5"/>
  <c r="W108" i="5"/>
  <c r="P108" i="5"/>
  <c r="O108" i="5"/>
  <c r="AB107" i="5"/>
  <c r="AA107" i="5"/>
  <c r="Z107" i="5"/>
  <c r="Y107" i="5"/>
  <c r="X107" i="5"/>
  <c r="W107" i="5"/>
  <c r="P107" i="5"/>
  <c r="O107" i="5"/>
  <c r="AB106" i="5"/>
  <c r="AA106" i="5"/>
  <c r="Z106" i="5"/>
  <c r="Y106" i="5"/>
  <c r="X106" i="5"/>
  <c r="W106" i="5"/>
  <c r="P106" i="5"/>
  <c r="O106" i="5"/>
  <c r="AB105" i="5"/>
  <c r="AA105" i="5"/>
  <c r="Z105" i="5"/>
  <c r="Y105" i="5"/>
  <c r="X105" i="5"/>
  <c r="W105" i="5"/>
  <c r="P105" i="5"/>
  <c r="O105" i="5"/>
  <c r="AB104" i="5"/>
  <c r="AA104" i="5"/>
  <c r="Z104" i="5"/>
  <c r="Y104" i="5"/>
  <c r="X104" i="5"/>
  <c r="W104" i="5"/>
  <c r="P104" i="5"/>
  <c r="O104" i="5"/>
  <c r="AB103" i="5"/>
  <c r="AA103" i="5"/>
  <c r="Z103" i="5"/>
  <c r="Y103" i="5"/>
  <c r="X103" i="5"/>
  <c r="W103" i="5"/>
  <c r="P103" i="5"/>
  <c r="O103" i="5"/>
  <c r="AB102" i="5"/>
  <c r="AA102" i="5"/>
  <c r="Z102" i="5"/>
  <c r="Y102" i="5"/>
  <c r="X102" i="5"/>
  <c r="W102" i="5"/>
  <c r="P102" i="5"/>
  <c r="O102" i="5"/>
  <c r="AB101" i="5"/>
  <c r="AA101" i="5"/>
  <c r="Z101" i="5"/>
  <c r="Y101" i="5"/>
  <c r="X101" i="5"/>
  <c r="W101" i="5"/>
  <c r="P101" i="5"/>
  <c r="O101" i="5"/>
  <c r="AB100" i="5"/>
  <c r="AA100" i="5"/>
  <c r="Z100" i="5"/>
  <c r="Y100" i="5"/>
  <c r="X100" i="5"/>
  <c r="W100" i="5"/>
  <c r="P100" i="5"/>
  <c r="O100" i="5"/>
  <c r="AB99" i="5"/>
  <c r="AA99" i="5"/>
  <c r="Z99" i="5"/>
  <c r="Y99" i="5"/>
  <c r="X99" i="5"/>
  <c r="W99" i="5"/>
  <c r="P99" i="5"/>
  <c r="O99" i="5"/>
  <c r="AB98" i="5"/>
  <c r="AA98" i="5"/>
  <c r="Z98" i="5"/>
  <c r="Y98" i="5"/>
  <c r="X98" i="5"/>
  <c r="W98" i="5"/>
  <c r="P98" i="5"/>
  <c r="O98" i="5"/>
  <c r="AB97" i="5"/>
  <c r="AA97" i="5"/>
  <c r="Z97" i="5"/>
  <c r="Y97" i="5"/>
  <c r="X97" i="5"/>
  <c r="W97" i="5"/>
  <c r="P97" i="5"/>
  <c r="O97" i="5"/>
  <c r="AB96" i="5"/>
  <c r="AA96" i="5"/>
  <c r="Z96" i="5"/>
  <c r="Y96" i="5"/>
  <c r="X96" i="5"/>
  <c r="W96" i="5"/>
  <c r="P96" i="5"/>
  <c r="O96" i="5"/>
  <c r="AB95" i="5"/>
  <c r="AA95" i="5"/>
  <c r="Z95" i="5"/>
  <c r="Y95" i="5"/>
  <c r="X95" i="5"/>
  <c r="W95" i="5"/>
  <c r="P95" i="5"/>
  <c r="O95" i="5"/>
  <c r="AB94" i="5"/>
  <c r="AA94" i="5"/>
  <c r="Z94" i="5"/>
  <c r="Y94" i="5"/>
  <c r="X94" i="5"/>
  <c r="W94" i="5"/>
  <c r="P94" i="5"/>
  <c r="O94" i="5"/>
  <c r="AB93" i="5"/>
  <c r="AA93" i="5"/>
  <c r="Z93" i="5"/>
  <c r="Y93" i="5"/>
  <c r="X93" i="5"/>
  <c r="W93" i="5"/>
  <c r="P93" i="5"/>
  <c r="O93" i="5"/>
  <c r="AB92" i="5"/>
  <c r="AA92" i="5"/>
  <c r="Z92" i="5"/>
  <c r="Y92" i="5"/>
  <c r="X92" i="5"/>
  <c r="W92" i="5"/>
  <c r="P92" i="5"/>
  <c r="O92" i="5"/>
  <c r="AB91" i="5"/>
  <c r="AA91" i="5"/>
  <c r="Z91" i="5"/>
  <c r="Y91" i="5"/>
  <c r="X91" i="5"/>
  <c r="W91" i="5"/>
  <c r="P91" i="5"/>
  <c r="O91" i="5"/>
  <c r="AB90" i="5"/>
  <c r="AA90" i="5"/>
  <c r="Z90" i="5"/>
  <c r="Y90" i="5"/>
  <c r="X90" i="5"/>
  <c r="W90" i="5"/>
  <c r="P90" i="5"/>
  <c r="O90" i="5"/>
  <c r="AB89" i="5"/>
  <c r="AA89" i="5"/>
  <c r="Z89" i="5"/>
  <c r="Y89" i="5"/>
  <c r="X89" i="5"/>
  <c r="W89" i="5"/>
  <c r="P89" i="5"/>
  <c r="O89" i="5"/>
  <c r="AB88" i="5"/>
  <c r="AA88" i="5"/>
  <c r="Z88" i="5"/>
  <c r="Y88" i="5"/>
  <c r="X88" i="5"/>
  <c r="W88" i="5"/>
  <c r="P88" i="5"/>
  <c r="O88" i="5"/>
  <c r="AB87" i="5"/>
  <c r="AA87" i="5"/>
  <c r="Z87" i="5"/>
  <c r="Y87" i="5"/>
  <c r="X87" i="5"/>
  <c r="W87" i="5"/>
  <c r="P87" i="5"/>
  <c r="O87" i="5"/>
  <c r="AB86" i="5"/>
  <c r="AA86" i="5"/>
  <c r="Z86" i="5"/>
  <c r="Y86" i="5"/>
  <c r="X86" i="5"/>
  <c r="W86" i="5"/>
  <c r="P86" i="5"/>
  <c r="O86" i="5"/>
  <c r="AB85" i="5"/>
  <c r="AA85" i="5"/>
  <c r="Z85" i="5"/>
  <c r="Y85" i="5"/>
  <c r="X85" i="5"/>
  <c r="W85" i="5"/>
  <c r="P85" i="5"/>
  <c r="O85" i="5"/>
  <c r="AB84" i="5"/>
  <c r="AA84" i="5"/>
  <c r="Z84" i="5"/>
  <c r="Y84" i="5"/>
  <c r="X84" i="5"/>
  <c r="W84" i="5"/>
  <c r="P84" i="5"/>
  <c r="O84" i="5"/>
  <c r="AB83" i="5"/>
  <c r="AA83" i="5"/>
  <c r="Z83" i="5"/>
  <c r="Y83" i="5"/>
  <c r="X83" i="5"/>
  <c r="W83" i="5"/>
  <c r="P83" i="5"/>
  <c r="O83" i="5"/>
  <c r="AB82" i="5"/>
  <c r="AA82" i="5"/>
  <c r="Z82" i="5"/>
  <c r="Y82" i="5"/>
  <c r="X82" i="5"/>
  <c r="W82" i="5"/>
  <c r="P82" i="5"/>
  <c r="O82" i="5"/>
  <c r="AB81" i="5"/>
  <c r="AA81" i="5"/>
  <c r="Z81" i="5"/>
  <c r="Y81" i="5"/>
  <c r="X81" i="5"/>
  <c r="W81" i="5"/>
  <c r="P81" i="5"/>
  <c r="O81" i="5"/>
  <c r="AB80" i="5"/>
  <c r="AA80" i="5"/>
  <c r="Z80" i="5"/>
  <c r="Y80" i="5"/>
  <c r="X80" i="5"/>
  <c r="W80" i="5"/>
  <c r="P80" i="5"/>
  <c r="O80" i="5"/>
  <c r="AB79" i="5"/>
  <c r="AA79" i="5"/>
  <c r="Z79" i="5"/>
  <c r="Y79" i="5"/>
  <c r="X79" i="5"/>
  <c r="W79" i="5"/>
  <c r="P79" i="5"/>
  <c r="O79" i="5"/>
  <c r="AB78" i="5"/>
  <c r="AA78" i="5"/>
  <c r="Z78" i="5"/>
  <c r="Y78" i="5"/>
  <c r="X78" i="5"/>
  <c r="W78" i="5"/>
  <c r="P78" i="5"/>
  <c r="O78" i="5"/>
  <c r="AB77" i="5"/>
  <c r="AA77" i="5"/>
  <c r="Z77" i="5"/>
  <c r="Y77" i="5"/>
  <c r="X77" i="5"/>
  <c r="W77" i="5"/>
  <c r="P77" i="5"/>
  <c r="O77" i="5"/>
  <c r="AB76" i="5"/>
  <c r="AA76" i="5"/>
  <c r="Z76" i="5"/>
  <c r="Y76" i="5"/>
  <c r="X76" i="5"/>
  <c r="W76" i="5"/>
  <c r="P76" i="5"/>
  <c r="O76" i="5"/>
  <c r="AB75" i="5"/>
  <c r="AA75" i="5"/>
  <c r="Z75" i="5"/>
  <c r="Y75" i="5"/>
  <c r="X75" i="5"/>
  <c r="W75" i="5"/>
  <c r="P75" i="5"/>
  <c r="O75" i="5"/>
  <c r="AB74" i="5"/>
  <c r="AA74" i="5"/>
  <c r="Z74" i="5"/>
  <c r="Y74" i="5"/>
  <c r="X74" i="5"/>
  <c r="W74" i="5"/>
  <c r="P74" i="5"/>
  <c r="O74" i="5"/>
  <c r="AB73" i="5"/>
  <c r="AA73" i="5"/>
  <c r="Z73" i="5"/>
  <c r="Y73" i="5"/>
  <c r="X73" i="5"/>
  <c r="W73" i="5"/>
  <c r="P73" i="5"/>
  <c r="O73" i="5"/>
  <c r="AB72" i="5"/>
  <c r="AA72" i="5"/>
  <c r="Z72" i="5"/>
  <c r="Y72" i="5"/>
  <c r="X72" i="5"/>
  <c r="W72" i="5"/>
  <c r="P72" i="5"/>
  <c r="O72" i="5"/>
  <c r="AB71" i="5"/>
  <c r="AA71" i="5"/>
  <c r="Z71" i="5"/>
  <c r="Y71" i="5"/>
  <c r="X71" i="5"/>
  <c r="W71" i="5"/>
  <c r="P71" i="5"/>
  <c r="O71" i="5"/>
  <c r="AB70" i="5"/>
  <c r="AA70" i="5"/>
  <c r="Z70" i="5"/>
  <c r="Y70" i="5"/>
  <c r="X70" i="5"/>
  <c r="W70" i="5"/>
  <c r="P70" i="5"/>
  <c r="O70" i="5"/>
  <c r="AB69" i="5"/>
  <c r="AA69" i="5"/>
  <c r="Z69" i="5"/>
  <c r="Y69" i="5"/>
  <c r="X69" i="5"/>
  <c r="W69" i="5"/>
  <c r="P69" i="5"/>
  <c r="O69" i="5"/>
  <c r="AB68" i="5"/>
  <c r="AA68" i="5"/>
  <c r="Z68" i="5"/>
  <c r="Y68" i="5"/>
  <c r="X68" i="5"/>
  <c r="W68" i="5"/>
  <c r="P68" i="5"/>
  <c r="O68" i="5"/>
  <c r="AB67" i="5"/>
  <c r="AA67" i="5"/>
  <c r="Z67" i="5"/>
  <c r="Y67" i="5"/>
  <c r="X67" i="5"/>
  <c r="W67" i="5"/>
  <c r="P67" i="5"/>
  <c r="O67" i="5"/>
  <c r="AB66" i="5"/>
  <c r="AA66" i="5"/>
  <c r="Z66" i="5"/>
  <c r="Y66" i="5"/>
  <c r="X66" i="5"/>
  <c r="W66" i="5"/>
  <c r="P66" i="5"/>
  <c r="O66" i="5"/>
  <c r="AB65" i="5"/>
  <c r="AA65" i="5"/>
  <c r="Z65" i="5"/>
  <c r="Y65" i="5"/>
  <c r="X65" i="5"/>
  <c r="W65" i="5"/>
  <c r="P65" i="5"/>
  <c r="O65" i="5"/>
  <c r="AB64" i="5"/>
  <c r="AA64" i="5"/>
  <c r="Z64" i="5"/>
  <c r="Y64" i="5"/>
  <c r="X64" i="5"/>
  <c r="W64" i="5"/>
  <c r="P64" i="5"/>
  <c r="O64" i="5"/>
  <c r="AB63" i="5"/>
  <c r="AA63" i="5"/>
  <c r="Z63" i="5"/>
  <c r="Y63" i="5"/>
  <c r="X63" i="5"/>
  <c r="W63" i="5"/>
  <c r="P63" i="5"/>
  <c r="O63" i="5"/>
  <c r="AB62" i="5"/>
  <c r="AA62" i="5"/>
  <c r="Z62" i="5"/>
  <c r="Y62" i="5"/>
  <c r="X62" i="5"/>
  <c r="W62" i="5"/>
  <c r="P62" i="5"/>
  <c r="O62" i="5"/>
  <c r="AB61" i="5"/>
  <c r="AA61" i="5"/>
  <c r="Z61" i="5"/>
  <c r="Y61" i="5"/>
  <c r="X61" i="5"/>
  <c r="W61" i="5"/>
  <c r="P61" i="5"/>
  <c r="O61" i="5"/>
  <c r="AB60" i="5"/>
  <c r="AA60" i="5"/>
  <c r="Z60" i="5"/>
  <c r="Y60" i="5"/>
  <c r="X60" i="5"/>
  <c r="W60" i="5"/>
  <c r="P60" i="5"/>
  <c r="O60" i="5"/>
  <c r="AB59" i="5"/>
  <c r="AA59" i="5"/>
  <c r="Z59" i="5"/>
  <c r="Y59" i="5"/>
  <c r="X59" i="5"/>
  <c r="W59" i="5"/>
  <c r="P59" i="5"/>
  <c r="O59" i="5"/>
  <c r="AB58" i="5"/>
  <c r="AA58" i="5"/>
  <c r="Z58" i="5"/>
  <c r="Y58" i="5"/>
  <c r="X58" i="5"/>
  <c r="W58" i="5"/>
  <c r="P58" i="5"/>
  <c r="O58" i="5"/>
  <c r="AB57" i="5"/>
  <c r="AA57" i="5"/>
  <c r="Z57" i="5"/>
  <c r="Y57" i="5"/>
  <c r="X57" i="5"/>
  <c r="W57" i="5"/>
  <c r="P57" i="5"/>
  <c r="O57" i="5"/>
  <c r="AB56" i="5"/>
  <c r="AA56" i="5"/>
  <c r="Z56" i="5"/>
  <c r="Y56" i="5"/>
  <c r="X56" i="5"/>
  <c r="W56" i="5"/>
  <c r="P56" i="5"/>
  <c r="O56" i="5"/>
  <c r="AB55" i="5"/>
  <c r="AA55" i="5"/>
  <c r="Z55" i="5"/>
  <c r="Y55" i="5"/>
  <c r="X55" i="5"/>
  <c r="W55" i="5"/>
  <c r="P55" i="5"/>
  <c r="O55" i="5"/>
  <c r="AB54" i="5"/>
  <c r="AA54" i="5"/>
  <c r="Z54" i="5"/>
  <c r="Y54" i="5"/>
  <c r="X54" i="5"/>
  <c r="W54" i="5"/>
  <c r="P54" i="5"/>
  <c r="O54" i="5"/>
  <c r="AB53" i="5"/>
  <c r="AA53" i="5"/>
  <c r="Z53" i="5"/>
  <c r="Y53" i="5"/>
  <c r="X53" i="5"/>
  <c r="W53" i="5"/>
  <c r="P53" i="5"/>
  <c r="O53" i="5"/>
  <c r="AB52" i="5"/>
  <c r="AA52" i="5"/>
  <c r="Z52" i="5"/>
  <c r="Y52" i="5"/>
  <c r="X52" i="5"/>
  <c r="W52" i="5"/>
  <c r="P52" i="5"/>
  <c r="O52" i="5"/>
  <c r="AB51" i="5"/>
  <c r="AA51" i="5"/>
  <c r="Z51" i="5"/>
  <c r="Y51" i="5"/>
  <c r="X51" i="5"/>
  <c r="W51" i="5"/>
  <c r="P51" i="5"/>
  <c r="O51" i="5"/>
  <c r="AB50" i="5"/>
  <c r="AA50" i="5"/>
  <c r="Z50" i="5"/>
  <c r="Y50" i="5"/>
  <c r="X50" i="5"/>
  <c r="W50" i="5"/>
  <c r="P50" i="5"/>
  <c r="O50" i="5"/>
  <c r="AB49" i="5"/>
  <c r="AA49" i="5"/>
  <c r="Z49" i="5"/>
  <c r="Y49" i="5"/>
  <c r="X49" i="5"/>
  <c r="W49" i="5"/>
  <c r="P49" i="5"/>
  <c r="O49" i="5"/>
  <c r="AB48" i="5"/>
  <c r="AA48" i="5"/>
  <c r="Z48" i="5"/>
  <c r="Y48" i="5"/>
  <c r="X48" i="5"/>
  <c r="W48" i="5"/>
  <c r="P48" i="5"/>
  <c r="O48" i="5"/>
  <c r="B48" i="5"/>
  <c r="AB47" i="5"/>
  <c r="AA47" i="5"/>
  <c r="Z47" i="5"/>
  <c r="Y47" i="5"/>
  <c r="X47" i="5"/>
  <c r="W47" i="5"/>
  <c r="P47" i="5"/>
  <c r="O47" i="5"/>
  <c r="B47" i="5"/>
  <c r="AB46" i="5"/>
  <c r="AA46" i="5"/>
  <c r="Z46" i="5"/>
  <c r="Y46" i="5"/>
  <c r="X46" i="5"/>
  <c r="W46" i="5"/>
  <c r="P46" i="5"/>
  <c r="O46" i="5"/>
  <c r="AB45" i="5"/>
  <c r="AA45" i="5"/>
  <c r="Z45" i="5"/>
  <c r="Y45" i="5"/>
  <c r="X45" i="5"/>
  <c r="W45" i="5"/>
  <c r="P45" i="5"/>
  <c r="O45" i="5"/>
  <c r="B45" i="5"/>
  <c r="AB44" i="5"/>
  <c r="AA44" i="5"/>
  <c r="Z44" i="5"/>
  <c r="Y44" i="5"/>
  <c r="X44" i="5"/>
  <c r="W44" i="5"/>
  <c r="P44" i="5"/>
  <c r="O44" i="5"/>
  <c r="B44" i="5"/>
  <c r="AB43" i="5"/>
  <c r="AA43" i="5"/>
  <c r="Z43" i="5"/>
  <c r="Y43" i="5"/>
  <c r="X43" i="5"/>
  <c r="W43" i="5"/>
  <c r="P43" i="5"/>
  <c r="O43" i="5"/>
  <c r="AB42" i="5"/>
  <c r="AA42" i="5"/>
  <c r="Z42" i="5"/>
  <c r="Y42" i="5"/>
  <c r="X42" i="5"/>
  <c r="W42" i="5"/>
  <c r="P42" i="5"/>
  <c r="O42" i="5"/>
  <c r="AB41" i="5"/>
  <c r="AA41" i="5"/>
  <c r="Z41" i="5"/>
  <c r="Y41" i="5"/>
  <c r="X41" i="5"/>
  <c r="W41" i="5"/>
  <c r="P41" i="5"/>
  <c r="O41" i="5"/>
  <c r="AB40" i="5"/>
  <c r="AA40" i="5"/>
  <c r="Z40" i="5"/>
  <c r="Y40" i="5"/>
  <c r="X40" i="5"/>
  <c r="W40" i="5"/>
  <c r="P40" i="5"/>
  <c r="O40" i="5"/>
  <c r="AB39" i="5"/>
  <c r="AA39" i="5"/>
  <c r="Z39" i="5"/>
  <c r="Y39" i="5"/>
  <c r="X39" i="5"/>
  <c r="W39" i="5"/>
  <c r="P39" i="5"/>
  <c r="O39" i="5"/>
  <c r="AB38" i="5"/>
  <c r="AA38" i="5"/>
  <c r="Z38" i="5"/>
  <c r="Y38" i="5"/>
  <c r="X38" i="5"/>
  <c r="W38" i="5"/>
  <c r="P38" i="5"/>
  <c r="O38" i="5"/>
  <c r="B38" i="5"/>
  <c r="AB37" i="5"/>
  <c r="AA37" i="5"/>
  <c r="Z37" i="5"/>
  <c r="Y37" i="5"/>
  <c r="X37" i="5"/>
  <c r="W37" i="5"/>
  <c r="P37" i="5"/>
  <c r="O37" i="5"/>
  <c r="AB36" i="5"/>
  <c r="AA36" i="5"/>
  <c r="Z36" i="5"/>
  <c r="Y36" i="5"/>
  <c r="X36" i="5"/>
  <c r="W36" i="5"/>
  <c r="P36" i="5"/>
  <c r="O36" i="5"/>
  <c r="AB35" i="5"/>
  <c r="AA35" i="5"/>
  <c r="Z35" i="5"/>
  <c r="Y35" i="5"/>
  <c r="X35" i="5"/>
  <c r="W35" i="5"/>
  <c r="P35" i="5"/>
  <c r="O35" i="5"/>
  <c r="AB34" i="5"/>
  <c r="AA34" i="5"/>
  <c r="Z34" i="5"/>
  <c r="Y34" i="5"/>
  <c r="X34" i="5"/>
  <c r="W34" i="5"/>
  <c r="P34" i="5"/>
  <c r="O34" i="5"/>
  <c r="B34" i="5"/>
  <c r="AB33" i="5"/>
  <c r="AA33" i="5"/>
  <c r="Z33" i="5"/>
  <c r="Y33" i="5"/>
  <c r="X33" i="5"/>
  <c r="W33" i="5"/>
  <c r="P33" i="5"/>
  <c r="O33" i="5"/>
  <c r="AB32" i="5"/>
  <c r="AA32" i="5"/>
  <c r="Z32" i="5"/>
  <c r="Y32" i="5"/>
  <c r="X32" i="5"/>
  <c r="W32" i="5"/>
  <c r="P32" i="5"/>
  <c r="O32" i="5"/>
  <c r="AB31" i="5"/>
  <c r="AA31" i="5"/>
  <c r="Z31" i="5"/>
  <c r="Y31" i="5"/>
  <c r="X31" i="5"/>
  <c r="W31" i="5"/>
  <c r="P31" i="5"/>
  <c r="O31" i="5"/>
  <c r="AB30" i="5"/>
  <c r="AA30" i="5"/>
  <c r="Z30" i="5"/>
  <c r="Y30" i="5"/>
  <c r="X30" i="5"/>
  <c r="W30" i="5"/>
  <c r="P30" i="5"/>
  <c r="O30" i="5"/>
  <c r="B30" i="5"/>
  <c r="AB29" i="5"/>
  <c r="AA29" i="5"/>
  <c r="Z29" i="5"/>
  <c r="Y29" i="5"/>
  <c r="X29" i="5"/>
  <c r="W29" i="5"/>
  <c r="P29" i="5"/>
  <c r="O29" i="5"/>
  <c r="AB28" i="5"/>
  <c r="AA28" i="5"/>
  <c r="Z28" i="5"/>
  <c r="Y28" i="5"/>
  <c r="X28" i="5"/>
  <c r="W28" i="5"/>
  <c r="P28" i="5"/>
  <c r="O28" i="5"/>
  <c r="B28" i="5"/>
  <c r="AB27" i="5"/>
  <c r="AA27" i="5"/>
  <c r="Z27" i="5"/>
  <c r="Y27" i="5"/>
  <c r="X27" i="5"/>
  <c r="W27" i="5"/>
  <c r="P27" i="5"/>
  <c r="O27" i="5"/>
  <c r="B27" i="5"/>
  <c r="AB26" i="5"/>
  <c r="AA26" i="5"/>
  <c r="Z26" i="5"/>
  <c r="Y26" i="5"/>
  <c r="X26" i="5"/>
  <c r="W26" i="5"/>
  <c r="P26" i="5"/>
  <c r="O26" i="5"/>
  <c r="B26" i="5"/>
  <c r="AB25" i="5"/>
  <c r="AA25" i="5"/>
  <c r="Z25" i="5"/>
  <c r="Y25" i="5"/>
  <c r="X25" i="5"/>
  <c r="W25" i="5"/>
  <c r="P25" i="5"/>
  <c r="O25" i="5"/>
  <c r="B25" i="5"/>
  <c r="AB24" i="5"/>
  <c r="AA24" i="5"/>
  <c r="Z24" i="5"/>
  <c r="Y24" i="5"/>
  <c r="X24" i="5"/>
  <c r="W24" i="5"/>
  <c r="P24" i="5"/>
  <c r="O24" i="5"/>
  <c r="AB23" i="5"/>
  <c r="AA23" i="5"/>
  <c r="Z23" i="5"/>
  <c r="Y23" i="5"/>
  <c r="X23" i="5"/>
  <c r="W23" i="5"/>
  <c r="P23" i="5"/>
  <c r="O23" i="5"/>
  <c r="B23" i="5"/>
  <c r="AB22" i="5"/>
  <c r="AA22" i="5"/>
  <c r="Z22" i="5"/>
  <c r="Y22" i="5"/>
  <c r="X22" i="5"/>
  <c r="W22" i="5"/>
  <c r="P22" i="5"/>
  <c r="O22" i="5"/>
  <c r="AB21" i="5"/>
  <c r="AA21" i="5"/>
  <c r="Z21" i="5"/>
  <c r="Y21" i="5"/>
  <c r="X21" i="5"/>
  <c r="W21" i="5"/>
  <c r="P21" i="5"/>
  <c r="O21" i="5"/>
  <c r="AB20" i="5"/>
  <c r="AA20" i="5"/>
  <c r="Z20" i="5"/>
  <c r="Y20" i="5"/>
  <c r="X20" i="5"/>
  <c r="W20" i="5"/>
  <c r="P20" i="5"/>
  <c r="O20" i="5"/>
  <c r="B20" i="5"/>
  <c r="AB19" i="5"/>
  <c r="AA19" i="5"/>
  <c r="Z19" i="5"/>
  <c r="Y19" i="5"/>
  <c r="X19" i="5"/>
  <c r="W19" i="5"/>
  <c r="P19" i="5"/>
  <c r="O19" i="5"/>
  <c r="B19" i="5"/>
  <c r="B16" i="5"/>
  <c r="P15" i="5"/>
  <c r="P13" i="5"/>
  <c r="B13" i="5"/>
  <c r="P12" i="5"/>
  <c r="B12" i="5"/>
  <c r="P11" i="5"/>
  <c r="B11" i="5"/>
  <c r="P10" i="5"/>
  <c r="B10" i="5"/>
  <c r="AB9" i="5"/>
  <c r="AA9" i="5"/>
  <c r="Z9" i="5"/>
  <c r="Y9" i="5"/>
  <c r="X9" i="5"/>
  <c r="W9" i="5"/>
  <c r="P9" i="5"/>
  <c r="O9" i="5"/>
  <c r="P8" i="5"/>
  <c r="P7" i="5"/>
  <c r="AS157" i="4"/>
  <c r="AQ157" i="4"/>
  <c r="AO157" i="4"/>
  <c r="AK157" i="4"/>
  <c r="AJ157" i="4"/>
  <c r="AF157" i="4"/>
  <c r="AE157" i="4"/>
  <c r="AD157" i="4"/>
  <c r="AC157" i="4"/>
  <c r="AA157" i="4"/>
  <c r="Z157" i="4"/>
  <c r="Y157" i="4"/>
  <c r="X157" i="4"/>
  <c r="W157" i="4"/>
  <c r="V157" i="4"/>
  <c r="U157" i="4"/>
  <c r="T157" i="4"/>
  <c r="S157" i="4"/>
  <c r="R157" i="4"/>
  <c r="AS156" i="4"/>
  <c r="AQ156" i="4"/>
  <c r="AO156" i="4"/>
  <c r="AK156" i="4"/>
  <c r="AJ156" i="4"/>
  <c r="AF156" i="4"/>
  <c r="AE156" i="4"/>
  <c r="AD156" i="4"/>
  <c r="AC156" i="4"/>
  <c r="AA156" i="4"/>
  <c r="Z156" i="4"/>
  <c r="Y156" i="4"/>
  <c r="X156" i="4"/>
  <c r="W156" i="4"/>
  <c r="V156" i="4"/>
  <c r="U156" i="4"/>
  <c r="T156" i="4"/>
  <c r="S156" i="4"/>
  <c r="R156" i="4"/>
  <c r="AS155" i="4"/>
  <c r="AQ155" i="4"/>
  <c r="AO155" i="4"/>
  <c r="AK155" i="4"/>
  <c r="AJ155" i="4"/>
  <c r="AF155" i="4"/>
  <c r="AE155" i="4"/>
  <c r="AD155" i="4"/>
  <c r="AC155" i="4"/>
  <c r="AA155" i="4"/>
  <c r="Z155" i="4"/>
  <c r="Y155" i="4"/>
  <c r="X155" i="4"/>
  <c r="W155" i="4"/>
  <c r="V155" i="4"/>
  <c r="U155" i="4"/>
  <c r="T155" i="4"/>
  <c r="S155" i="4"/>
  <c r="R155" i="4"/>
  <c r="AS154" i="4"/>
  <c r="AQ154" i="4"/>
  <c r="AO154" i="4"/>
  <c r="AK154" i="4"/>
  <c r="AJ154" i="4"/>
  <c r="AF154" i="4"/>
  <c r="AE154" i="4"/>
  <c r="AD154" i="4"/>
  <c r="AC154" i="4"/>
  <c r="AA154" i="4"/>
  <c r="Z154" i="4"/>
  <c r="Y154" i="4"/>
  <c r="X154" i="4"/>
  <c r="W154" i="4"/>
  <c r="V154" i="4"/>
  <c r="U154" i="4"/>
  <c r="T154" i="4"/>
  <c r="S154" i="4"/>
  <c r="R154" i="4"/>
  <c r="AS153" i="4"/>
  <c r="AQ153" i="4"/>
  <c r="AO153" i="4"/>
  <c r="AK153" i="4"/>
  <c r="AJ153" i="4"/>
  <c r="AF153" i="4"/>
  <c r="AE153" i="4"/>
  <c r="AD153" i="4"/>
  <c r="AC153" i="4"/>
  <c r="AA153" i="4"/>
  <c r="Z153" i="4"/>
  <c r="Y153" i="4"/>
  <c r="X153" i="4"/>
  <c r="W153" i="4"/>
  <c r="V153" i="4"/>
  <c r="U153" i="4"/>
  <c r="T153" i="4"/>
  <c r="S153" i="4"/>
  <c r="R153" i="4"/>
  <c r="AS152" i="4"/>
  <c r="AQ152" i="4"/>
  <c r="AO152" i="4"/>
  <c r="AK152" i="4"/>
  <c r="AJ152" i="4"/>
  <c r="AF152" i="4"/>
  <c r="AE152" i="4"/>
  <c r="AD152" i="4"/>
  <c r="AC152" i="4"/>
  <c r="AA152" i="4"/>
  <c r="Z152" i="4"/>
  <c r="Y152" i="4"/>
  <c r="X152" i="4"/>
  <c r="W152" i="4"/>
  <c r="V152" i="4"/>
  <c r="U152" i="4"/>
  <c r="T152" i="4"/>
  <c r="S152" i="4"/>
  <c r="R152" i="4"/>
  <c r="AS151" i="4"/>
  <c r="AQ151" i="4"/>
  <c r="AO151" i="4"/>
  <c r="AK151" i="4"/>
  <c r="AJ151" i="4"/>
  <c r="AF151" i="4"/>
  <c r="AE151" i="4"/>
  <c r="AD151" i="4"/>
  <c r="AC151" i="4"/>
  <c r="AA151" i="4"/>
  <c r="Z151" i="4"/>
  <c r="Y151" i="4"/>
  <c r="X151" i="4"/>
  <c r="W151" i="4"/>
  <c r="V151" i="4"/>
  <c r="U151" i="4"/>
  <c r="T151" i="4"/>
  <c r="S151" i="4"/>
  <c r="R151" i="4"/>
  <c r="AS150" i="4"/>
  <c r="AQ150" i="4"/>
  <c r="AO150" i="4"/>
  <c r="AK150" i="4"/>
  <c r="AJ150" i="4"/>
  <c r="AF150" i="4"/>
  <c r="AE150" i="4"/>
  <c r="AD150" i="4"/>
  <c r="AC150" i="4"/>
  <c r="AA150" i="4"/>
  <c r="Z150" i="4"/>
  <c r="Y150" i="4"/>
  <c r="X150" i="4"/>
  <c r="W150" i="4"/>
  <c r="V150" i="4"/>
  <c r="U150" i="4"/>
  <c r="T150" i="4"/>
  <c r="S150" i="4"/>
  <c r="R150" i="4"/>
  <c r="AS149" i="4"/>
  <c r="AQ149" i="4"/>
  <c r="AO149" i="4"/>
  <c r="AK149" i="4"/>
  <c r="AJ149" i="4"/>
  <c r="AF149" i="4"/>
  <c r="AE149" i="4"/>
  <c r="AD149" i="4"/>
  <c r="AC149" i="4"/>
  <c r="AA149" i="4"/>
  <c r="Z149" i="4"/>
  <c r="Y149" i="4"/>
  <c r="X149" i="4"/>
  <c r="W149" i="4"/>
  <c r="V149" i="4"/>
  <c r="U149" i="4"/>
  <c r="T149" i="4"/>
  <c r="S149" i="4"/>
  <c r="R149" i="4"/>
  <c r="AS148" i="4"/>
  <c r="AQ148" i="4"/>
  <c r="AO148" i="4"/>
  <c r="AK148" i="4"/>
  <c r="AJ148" i="4"/>
  <c r="AF148" i="4"/>
  <c r="AE148" i="4"/>
  <c r="AD148" i="4"/>
  <c r="AC148" i="4"/>
  <c r="AA148" i="4"/>
  <c r="Z148" i="4"/>
  <c r="Y148" i="4"/>
  <c r="X148" i="4"/>
  <c r="W148" i="4"/>
  <c r="V148" i="4"/>
  <c r="U148" i="4"/>
  <c r="T148" i="4"/>
  <c r="S148" i="4"/>
  <c r="R148" i="4"/>
  <c r="AS147" i="4"/>
  <c r="AQ147" i="4"/>
  <c r="AO147" i="4"/>
  <c r="AK147" i="4"/>
  <c r="AJ147" i="4"/>
  <c r="AF147" i="4"/>
  <c r="AE147" i="4"/>
  <c r="AD147" i="4"/>
  <c r="AC147" i="4"/>
  <c r="AA147" i="4"/>
  <c r="Z147" i="4"/>
  <c r="Y147" i="4"/>
  <c r="X147" i="4"/>
  <c r="W147" i="4"/>
  <c r="V147" i="4"/>
  <c r="U147" i="4"/>
  <c r="T147" i="4"/>
  <c r="S147" i="4"/>
  <c r="R147" i="4"/>
  <c r="AS146" i="4"/>
  <c r="AQ146" i="4"/>
  <c r="AO146" i="4"/>
  <c r="AK146" i="4"/>
  <c r="AJ146" i="4"/>
  <c r="AF146" i="4"/>
  <c r="AE146" i="4"/>
  <c r="AD146" i="4"/>
  <c r="AC146" i="4"/>
  <c r="AA146" i="4"/>
  <c r="Z146" i="4"/>
  <c r="Y146" i="4"/>
  <c r="X146" i="4"/>
  <c r="W146" i="4"/>
  <c r="V146" i="4"/>
  <c r="U146" i="4"/>
  <c r="T146" i="4"/>
  <c r="S146" i="4"/>
  <c r="R146" i="4"/>
  <c r="AS145" i="4"/>
  <c r="AQ145" i="4"/>
  <c r="AO145" i="4"/>
  <c r="AK145" i="4"/>
  <c r="AJ145" i="4"/>
  <c r="AF145" i="4"/>
  <c r="AE145" i="4"/>
  <c r="AD145" i="4"/>
  <c r="AC145" i="4"/>
  <c r="AA145" i="4"/>
  <c r="Z145" i="4"/>
  <c r="Y145" i="4"/>
  <c r="X145" i="4"/>
  <c r="W145" i="4"/>
  <c r="V145" i="4"/>
  <c r="U145" i="4"/>
  <c r="T145" i="4"/>
  <c r="S145" i="4"/>
  <c r="R145" i="4"/>
  <c r="AS144" i="4"/>
  <c r="AQ144" i="4"/>
  <c r="AO144" i="4"/>
  <c r="AK144" i="4"/>
  <c r="AJ144" i="4"/>
  <c r="AF144" i="4"/>
  <c r="AE144" i="4"/>
  <c r="AD144" i="4"/>
  <c r="AC144" i="4"/>
  <c r="AA144" i="4"/>
  <c r="Z144" i="4"/>
  <c r="Y144" i="4"/>
  <c r="X144" i="4"/>
  <c r="W144" i="4"/>
  <c r="V144" i="4"/>
  <c r="U144" i="4"/>
  <c r="T144" i="4"/>
  <c r="S144" i="4"/>
  <c r="R144" i="4"/>
  <c r="AS143" i="4"/>
  <c r="AQ143" i="4"/>
  <c r="AO143" i="4"/>
  <c r="AK143" i="4"/>
  <c r="AJ143" i="4"/>
  <c r="AF143" i="4"/>
  <c r="AE143" i="4"/>
  <c r="AD143" i="4"/>
  <c r="AC143" i="4"/>
  <c r="AA143" i="4"/>
  <c r="Z143" i="4"/>
  <c r="Y143" i="4"/>
  <c r="X143" i="4"/>
  <c r="W143" i="4"/>
  <c r="V143" i="4"/>
  <c r="U143" i="4"/>
  <c r="T143" i="4"/>
  <c r="S143" i="4"/>
  <c r="R143" i="4"/>
  <c r="AS142" i="4"/>
  <c r="AQ142" i="4"/>
  <c r="AO142" i="4"/>
  <c r="AK142" i="4"/>
  <c r="AJ142" i="4"/>
  <c r="AF142" i="4"/>
  <c r="AE142" i="4"/>
  <c r="AD142" i="4"/>
  <c r="AC142" i="4"/>
  <c r="AA142" i="4"/>
  <c r="Z142" i="4"/>
  <c r="Y142" i="4"/>
  <c r="X142" i="4"/>
  <c r="W142" i="4"/>
  <c r="V142" i="4"/>
  <c r="U142" i="4"/>
  <c r="T142" i="4"/>
  <c r="S142" i="4"/>
  <c r="R142" i="4"/>
  <c r="AS141" i="4"/>
  <c r="AQ141" i="4"/>
  <c r="AO141" i="4"/>
  <c r="AK141" i="4"/>
  <c r="AJ141" i="4"/>
  <c r="AF141" i="4"/>
  <c r="AE141" i="4"/>
  <c r="AD141" i="4"/>
  <c r="AC141" i="4"/>
  <c r="AA141" i="4"/>
  <c r="Z141" i="4"/>
  <c r="Y141" i="4"/>
  <c r="X141" i="4"/>
  <c r="W141" i="4"/>
  <c r="V141" i="4"/>
  <c r="U141" i="4"/>
  <c r="T141" i="4"/>
  <c r="S141" i="4"/>
  <c r="R141" i="4"/>
  <c r="AS140" i="4"/>
  <c r="AQ140" i="4"/>
  <c r="AO140" i="4"/>
  <c r="AK140" i="4"/>
  <c r="AJ140" i="4"/>
  <c r="AF140" i="4"/>
  <c r="AE140" i="4"/>
  <c r="AD140" i="4"/>
  <c r="AC140" i="4"/>
  <c r="AA140" i="4"/>
  <c r="Z140" i="4"/>
  <c r="Y140" i="4"/>
  <c r="X140" i="4"/>
  <c r="W140" i="4"/>
  <c r="V140" i="4"/>
  <c r="U140" i="4"/>
  <c r="T140" i="4"/>
  <c r="S140" i="4"/>
  <c r="R140" i="4"/>
  <c r="AS139" i="4"/>
  <c r="AQ139" i="4"/>
  <c r="AO139" i="4"/>
  <c r="AK139" i="4"/>
  <c r="AJ139" i="4"/>
  <c r="AF139" i="4"/>
  <c r="AE139" i="4"/>
  <c r="AD139" i="4"/>
  <c r="AC139" i="4"/>
  <c r="AA139" i="4"/>
  <c r="Z139" i="4"/>
  <c r="Y139" i="4"/>
  <c r="X139" i="4"/>
  <c r="W139" i="4"/>
  <c r="V139" i="4"/>
  <c r="U139" i="4"/>
  <c r="T139" i="4"/>
  <c r="S139" i="4"/>
  <c r="R139" i="4"/>
  <c r="AS138" i="4"/>
  <c r="AQ138" i="4"/>
  <c r="AO138" i="4"/>
  <c r="AK138" i="4"/>
  <c r="AJ138" i="4"/>
  <c r="AF138" i="4"/>
  <c r="AE138" i="4"/>
  <c r="AD138" i="4"/>
  <c r="AC138" i="4"/>
  <c r="AA138" i="4"/>
  <c r="Z138" i="4"/>
  <c r="Y138" i="4"/>
  <c r="X138" i="4"/>
  <c r="W138" i="4"/>
  <c r="V138" i="4"/>
  <c r="U138" i="4"/>
  <c r="T138" i="4"/>
  <c r="S138" i="4"/>
  <c r="R138" i="4"/>
  <c r="AS137" i="4"/>
  <c r="AQ137" i="4"/>
  <c r="AO137" i="4"/>
  <c r="AK137" i="4"/>
  <c r="AJ137" i="4"/>
  <c r="AF137" i="4"/>
  <c r="AE137" i="4"/>
  <c r="AD137" i="4"/>
  <c r="AC137" i="4"/>
  <c r="AA137" i="4"/>
  <c r="Z137" i="4"/>
  <c r="Y137" i="4"/>
  <c r="X137" i="4"/>
  <c r="W137" i="4"/>
  <c r="V137" i="4"/>
  <c r="U137" i="4"/>
  <c r="T137" i="4"/>
  <c r="S137" i="4"/>
  <c r="R137" i="4"/>
  <c r="AS136" i="4"/>
  <c r="AQ136" i="4"/>
  <c r="AO136" i="4"/>
  <c r="AK136" i="4"/>
  <c r="AJ136" i="4"/>
  <c r="AF136" i="4"/>
  <c r="AE136" i="4"/>
  <c r="AD136" i="4"/>
  <c r="AC136" i="4"/>
  <c r="AA136" i="4"/>
  <c r="Z136" i="4"/>
  <c r="Y136" i="4"/>
  <c r="X136" i="4"/>
  <c r="W136" i="4"/>
  <c r="V136" i="4"/>
  <c r="U136" i="4"/>
  <c r="T136" i="4"/>
  <c r="S136" i="4"/>
  <c r="R136" i="4"/>
  <c r="AS135" i="4"/>
  <c r="AQ135" i="4"/>
  <c r="AO135" i="4"/>
  <c r="AK135" i="4"/>
  <c r="AJ135" i="4"/>
  <c r="AF135" i="4"/>
  <c r="AE135" i="4"/>
  <c r="AD135" i="4"/>
  <c r="AC135" i="4"/>
  <c r="AA135" i="4"/>
  <c r="Z135" i="4"/>
  <c r="Y135" i="4"/>
  <c r="X135" i="4"/>
  <c r="W135" i="4"/>
  <c r="V135" i="4"/>
  <c r="U135" i="4"/>
  <c r="T135" i="4"/>
  <c r="S135" i="4"/>
  <c r="R135" i="4"/>
  <c r="AS134" i="4"/>
  <c r="AQ134" i="4"/>
  <c r="AO134" i="4"/>
  <c r="AK134" i="4"/>
  <c r="AJ134" i="4"/>
  <c r="AF134" i="4"/>
  <c r="AE134" i="4"/>
  <c r="AD134" i="4"/>
  <c r="AC134" i="4"/>
  <c r="AA134" i="4"/>
  <c r="Z134" i="4"/>
  <c r="Y134" i="4"/>
  <c r="X134" i="4"/>
  <c r="W134" i="4"/>
  <c r="V134" i="4"/>
  <c r="U134" i="4"/>
  <c r="T134" i="4"/>
  <c r="S134" i="4"/>
  <c r="R134" i="4"/>
  <c r="AS133" i="4"/>
  <c r="AQ133" i="4"/>
  <c r="AO133" i="4"/>
  <c r="AK133" i="4"/>
  <c r="AJ133" i="4"/>
  <c r="AF133" i="4"/>
  <c r="AE133" i="4"/>
  <c r="AD133" i="4"/>
  <c r="AC133" i="4"/>
  <c r="AA133" i="4"/>
  <c r="Z133" i="4"/>
  <c r="Y133" i="4"/>
  <c r="X133" i="4"/>
  <c r="W133" i="4"/>
  <c r="V133" i="4"/>
  <c r="U133" i="4"/>
  <c r="T133" i="4"/>
  <c r="S133" i="4"/>
  <c r="R133" i="4"/>
  <c r="AS132" i="4"/>
  <c r="AQ132" i="4"/>
  <c r="AO132" i="4"/>
  <c r="AK132" i="4"/>
  <c r="AJ132" i="4"/>
  <c r="AF132" i="4"/>
  <c r="AE132" i="4"/>
  <c r="AD132" i="4"/>
  <c r="AC132" i="4"/>
  <c r="AA132" i="4"/>
  <c r="Z132" i="4"/>
  <c r="Y132" i="4"/>
  <c r="X132" i="4"/>
  <c r="W132" i="4"/>
  <c r="V132" i="4"/>
  <c r="U132" i="4"/>
  <c r="T132" i="4"/>
  <c r="S132" i="4"/>
  <c r="R132" i="4"/>
  <c r="AS131" i="4"/>
  <c r="AQ131" i="4"/>
  <c r="AO131" i="4"/>
  <c r="AK131" i="4"/>
  <c r="AJ131" i="4"/>
  <c r="AF131" i="4"/>
  <c r="AE131" i="4"/>
  <c r="AD131" i="4"/>
  <c r="AC131" i="4"/>
  <c r="AA131" i="4"/>
  <c r="Z131" i="4"/>
  <c r="Y131" i="4"/>
  <c r="X131" i="4"/>
  <c r="W131" i="4"/>
  <c r="V131" i="4"/>
  <c r="U131" i="4"/>
  <c r="T131" i="4"/>
  <c r="S131" i="4"/>
  <c r="R131" i="4"/>
  <c r="AS130" i="4"/>
  <c r="AQ130" i="4"/>
  <c r="AO130" i="4"/>
  <c r="AK130" i="4"/>
  <c r="AJ130" i="4"/>
  <c r="AF130" i="4"/>
  <c r="AE130" i="4"/>
  <c r="AD130" i="4"/>
  <c r="AC130" i="4"/>
  <c r="AA130" i="4"/>
  <c r="Z130" i="4"/>
  <c r="Y130" i="4"/>
  <c r="X130" i="4"/>
  <c r="W130" i="4"/>
  <c r="V130" i="4"/>
  <c r="U130" i="4"/>
  <c r="T130" i="4"/>
  <c r="S130" i="4"/>
  <c r="R130" i="4"/>
  <c r="AS129" i="4"/>
  <c r="AQ129" i="4"/>
  <c r="AO129" i="4"/>
  <c r="AK129" i="4"/>
  <c r="AJ129" i="4"/>
  <c r="AF129" i="4"/>
  <c r="AE129" i="4"/>
  <c r="AD129" i="4"/>
  <c r="AC129" i="4"/>
  <c r="AA129" i="4"/>
  <c r="Z129" i="4"/>
  <c r="Y129" i="4"/>
  <c r="X129" i="4"/>
  <c r="W129" i="4"/>
  <c r="V129" i="4"/>
  <c r="U129" i="4"/>
  <c r="T129" i="4"/>
  <c r="S129" i="4"/>
  <c r="R129" i="4"/>
  <c r="AS128" i="4"/>
  <c r="AQ128" i="4"/>
  <c r="AO128" i="4"/>
  <c r="AK128" i="4"/>
  <c r="AJ128" i="4"/>
  <c r="AF128" i="4"/>
  <c r="AE128" i="4"/>
  <c r="AD128" i="4"/>
  <c r="AC128" i="4"/>
  <c r="AA128" i="4"/>
  <c r="Z128" i="4"/>
  <c r="Y128" i="4"/>
  <c r="X128" i="4"/>
  <c r="W128" i="4"/>
  <c r="V128" i="4"/>
  <c r="U128" i="4"/>
  <c r="T128" i="4"/>
  <c r="S128" i="4"/>
  <c r="R128" i="4"/>
  <c r="AS127" i="4"/>
  <c r="AQ127" i="4"/>
  <c r="AO127" i="4"/>
  <c r="AK127" i="4"/>
  <c r="AJ127" i="4"/>
  <c r="AF127" i="4"/>
  <c r="AE127" i="4"/>
  <c r="AD127" i="4"/>
  <c r="AC127" i="4"/>
  <c r="AA127" i="4"/>
  <c r="Z127" i="4"/>
  <c r="Y127" i="4"/>
  <c r="X127" i="4"/>
  <c r="W127" i="4"/>
  <c r="V127" i="4"/>
  <c r="U127" i="4"/>
  <c r="T127" i="4"/>
  <c r="S127" i="4"/>
  <c r="R127" i="4"/>
  <c r="AS126" i="4"/>
  <c r="AQ126" i="4"/>
  <c r="AO126" i="4"/>
  <c r="AK126" i="4"/>
  <c r="AJ126" i="4"/>
  <c r="AF126" i="4"/>
  <c r="AE126" i="4"/>
  <c r="AD126" i="4"/>
  <c r="AC126" i="4"/>
  <c r="AA126" i="4"/>
  <c r="Z126" i="4"/>
  <c r="Y126" i="4"/>
  <c r="X126" i="4"/>
  <c r="W126" i="4"/>
  <c r="V126" i="4"/>
  <c r="U126" i="4"/>
  <c r="T126" i="4"/>
  <c r="S126" i="4"/>
  <c r="R126" i="4"/>
  <c r="AS125" i="4"/>
  <c r="AQ125" i="4"/>
  <c r="AO125" i="4"/>
  <c r="AK125" i="4"/>
  <c r="AJ125" i="4"/>
  <c r="AF125" i="4"/>
  <c r="AE125" i="4"/>
  <c r="AD125" i="4"/>
  <c r="AC125" i="4"/>
  <c r="AA125" i="4"/>
  <c r="Z125" i="4"/>
  <c r="Y125" i="4"/>
  <c r="X125" i="4"/>
  <c r="W125" i="4"/>
  <c r="V125" i="4"/>
  <c r="U125" i="4"/>
  <c r="T125" i="4"/>
  <c r="S125" i="4"/>
  <c r="R125" i="4"/>
  <c r="AS124" i="4"/>
  <c r="AQ124" i="4"/>
  <c r="AO124" i="4"/>
  <c r="AK124" i="4"/>
  <c r="AJ124" i="4"/>
  <c r="AF124" i="4"/>
  <c r="AE124" i="4"/>
  <c r="AD124" i="4"/>
  <c r="AC124" i="4"/>
  <c r="AA124" i="4"/>
  <c r="Z124" i="4"/>
  <c r="Y124" i="4"/>
  <c r="X124" i="4"/>
  <c r="W124" i="4"/>
  <c r="V124" i="4"/>
  <c r="U124" i="4"/>
  <c r="T124" i="4"/>
  <c r="S124" i="4"/>
  <c r="R124" i="4"/>
  <c r="AS123" i="4"/>
  <c r="AQ123" i="4"/>
  <c r="AO123" i="4"/>
  <c r="AK123" i="4"/>
  <c r="AJ123" i="4"/>
  <c r="AF123" i="4"/>
  <c r="AE123" i="4"/>
  <c r="AD123" i="4"/>
  <c r="AC123" i="4"/>
  <c r="AA123" i="4"/>
  <c r="Z123" i="4"/>
  <c r="Y123" i="4"/>
  <c r="X123" i="4"/>
  <c r="W123" i="4"/>
  <c r="V123" i="4"/>
  <c r="U123" i="4"/>
  <c r="T123" i="4"/>
  <c r="S123" i="4"/>
  <c r="R123" i="4"/>
  <c r="AS122" i="4"/>
  <c r="AQ122" i="4"/>
  <c r="AO122" i="4"/>
  <c r="AK122" i="4"/>
  <c r="AJ122" i="4"/>
  <c r="AF122" i="4"/>
  <c r="AE122" i="4"/>
  <c r="AD122" i="4"/>
  <c r="AC122" i="4"/>
  <c r="AA122" i="4"/>
  <c r="Z122" i="4"/>
  <c r="Y122" i="4"/>
  <c r="X122" i="4"/>
  <c r="W122" i="4"/>
  <c r="V122" i="4"/>
  <c r="U122" i="4"/>
  <c r="T122" i="4"/>
  <c r="S122" i="4"/>
  <c r="R122" i="4"/>
  <c r="AS121" i="4"/>
  <c r="AQ121" i="4"/>
  <c r="AO121" i="4"/>
  <c r="AK121" i="4"/>
  <c r="AJ121" i="4"/>
  <c r="AF121" i="4"/>
  <c r="AE121" i="4"/>
  <c r="AD121" i="4"/>
  <c r="AC121" i="4"/>
  <c r="AA121" i="4"/>
  <c r="Z121" i="4"/>
  <c r="Y121" i="4"/>
  <c r="X121" i="4"/>
  <c r="W121" i="4"/>
  <c r="V121" i="4"/>
  <c r="U121" i="4"/>
  <c r="T121" i="4"/>
  <c r="S121" i="4"/>
  <c r="R121" i="4"/>
  <c r="AS120" i="4"/>
  <c r="AQ120" i="4"/>
  <c r="AO120" i="4"/>
  <c r="AK120" i="4"/>
  <c r="AJ120" i="4"/>
  <c r="AF120" i="4"/>
  <c r="AE120" i="4"/>
  <c r="AD120" i="4"/>
  <c r="AC120" i="4"/>
  <c r="AA120" i="4"/>
  <c r="Z120" i="4"/>
  <c r="Y120" i="4"/>
  <c r="X120" i="4"/>
  <c r="W120" i="4"/>
  <c r="V120" i="4"/>
  <c r="U120" i="4"/>
  <c r="T120" i="4"/>
  <c r="S120" i="4"/>
  <c r="R120" i="4"/>
  <c r="AS119" i="4"/>
  <c r="AQ119" i="4"/>
  <c r="AO119" i="4"/>
  <c r="AK119" i="4"/>
  <c r="AJ119" i="4"/>
  <c r="AF119" i="4"/>
  <c r="AE119" i="4"/>
  <c r="AD119" i="4"/>
  <c r="AC119" i="4"/>
  <c r="AA119" i="4"/>
  <c r="Z119" i="4"/>
  <c r="Y119" i="4"/>
  <c r="X119" i="4"/>
  <c r="W119" i="4"/>
  <c r="V119" i="4"/>
  <c r="U119" i="4"/>
  <c r="T119" i="4"/>
  <c r="S119" i="4"/>
  <c r="R119" i="4"/>
  <c r="AS118" i="4"/>
  <c r="AQ118" i="4"/>
  <c r="AO118" i="4"/>
  <c r="AK118" i="4"/>
  <c r="AJ118" i="4"/>
  <c r="AF118" i="4"/>
  <c r="AE118" i="4"/>
  <c r="AD118" i="4"/>
  <c r="AC118" i="4"/>
  <c r="AA118" i="4"/>
  <c r="Z118" i="4"/>
  <c r="Y118" i="4"/>
  <c r="X118" i="4"/>
  <c r="W118" i="4"/>
  <c r="V118" i="4"/>
  <c r="U118" i="4"/>
  <c r="T118" i="4"/>
  <c r="S118" i="4"/>
  <c r="R118" i="4"/>
  <c r="AS117" i="4"/>
  <c r="AQ117" i="4"/>
  <c r="AO117" i="4"/>
  <c r="AK117" i="4"/>
  <c r="AJ117" i="4"/>
  <c r="AF117" i="4"/>
  <c r="AE117" i="4"/>
  <c r="AD117" i="4"/>
  <c r="AC117" i="4"/>
  <c r="AA117" i="4"/>
  <c r="Z117" i="4"/>
  <c r="Y117" i="4"/>
  <c r="X117" i="4"/>
  <c r="W117" i="4"/>
  <c r="V117" i="4"/>
  <c r="U117" i="4"/>
  <c r="T117" i="4"/>
  <c r="S117" i="4"/>
  <c r="R117" i="4"/>
  <c r="AS116" i="4"/>
  <c r="AQ116" i="4"/>
  <c r="AO116" i="4"/>
  <c r="AK116" i="4"/>
  <c r="AJ116" i="4"/>
  <c r="AF116" i="4"/>
  <c r="AE116" i="4"/>
  <c r="AD116" i="4"/>
  <c r="AC116" i="4"/>
  <c r="AA116" i="4"/>
  <c r="Z116" i="4"/>
  <c r="Y116" i="4"/>
  <c r="X116" i="4"/>
  <c r="W116" i="4"/>
  <c r="V116" i="4"/>
  <c r="U116" i="4"/>
  <c r="T116" i="4"/>
  <c r="S116" i="4"/>
  <c r="R116" i="4"/>
  <c r="AS115" i="4"/>
  <c r="AQ115" i="4"/>
  <c r="AO115" i="4"/>
  <c r="AK115" i="4"/>
  <c r="AJ115" i="4"/>
  <c r="AF115" i="4"/>
  <c r="AE115" i="4"/>
  <c r="AD115" i="4"/>
  <c r="AC115" i="4"/>
  <c r="AA115" i="4"/>
  <c r="Z115" i="4"/>
  <c r="Y115" i="4"/>
  <c r="X115" i="4"/>
  <c r="W115" i="4"/>
  <c r="V115" i="4"/>
  <c r="U115" i="4"/>
  <c r="T115" i="4"/>
  <c r="S115" i="4"/>
  <c r="R115" i="4"/>
  <c r="AS114" i="4"/>
  <c r="AQ114" i="4"/>
  <c r="AO114" i="4"/>
  <c r="AK114" i="4"/>
  <c r="AJ114" i="4"/>
  <c r="AF114" i="4"/>
  <c r="AE114" i="4"/>
  <c r="AD114" i="4"/>
  <c r="AC114" i="4"/>
  <c r="AA114" i="4"/>
  <c r="Z114" i="4"/>
  <c r="Y114" i="4"/>
  <c r="X114" i="4"/>
  <c r="W114" i="4"/>
  <c r="V114" i="4"/>
  <c r="U114" i="4"/>
  <c r="T114" i="4"/>
  <c r="S114" i="4"/>
  <c r="R114" i="4"/>
  <c r="AS113" i="4"/>
  <c r="AQ113" i="4"/>
  <c r="AO113" i="4"/>
  <c r="AK113" i="4"/>
  <c r="AJ113" i="4"/>
  <c r="AF113" i="4"/>
  <c r="AE113" i="4"/>
  <c r="AD113" i="4"/>
  <c r="AC113" i="4"/>
  <c r="AA113" i="4"/>
  <c r="Z113" i="4"/>
  <c r="Y113" i="4"/>
  <c r="X113" i="4"/>
  <c r="W113" i="4"/>
  <c r="V113" i="4"/>
  <c r="U113" i="4"/>
  <c r="T113" i="4"/>
  <c r="S113" i="4"/>
  <c r="R113" i="4"/>
  <c r="AS112" i="4"/>
  <c r="AQ112" i="4"/>
  <c r="AO112" i="4"/>
  <c r="AK112" i="4"/>
  <c r="AJ112" i="4"/>
  <c r="AF112" i="4"/>
  <c r="AE112" i="4"/>
  <c r="AD112" i="4"/>
  <c r="AC112" i="4"/>
  <c r="AA112" i="4"/>
  <c r="Z112" i="4"/>
  <c r="Y112" i="4"/>
  <c r="X112" i="4"/>
  <c r="W112" i="4"/>
  <c r="V112" i="4"/>
  <c r="U112" i="4"/>
  <c r="T112" i="4"/>
  <c r="S112" i="4"/>
  <c r="R112" i="4"/>
  <c r="AS111" i="4"/>
  <c r="AQ111" i="4"/>
  <c r="AO111" i="4"/>
  <c r="AK111" i="4"/>
  <c r="AJ111" i="4"/>
  <c r="AF111" i="4"/>
  <c r="AE111" i="4"/>
  <c r="AD111" i="4"/>
  <c r="AC111" i="4"/>
  <c r="AA111" i="4"/>
  <c r="Z111" i="4"/>
  <c r="Y111" i="4"/>
  <c r="X111" i="4"/>
  <c r="W111" i="4"/>
  <c r="V111" i="4"/>
  <c r="U111" i="4"/>
  <c r="T111" i="4"/>
  <c r="S111" i="4"/>
  <c r="R111" i="4"/>
  <c r="AS110" i="4"/>
  <c r="AQ110" i="4"/>
  <c r="AO110" i="4"/>
  <c r="AK110" i="4"/>
  <c r="AJ110" i="4"/>
  <c r="AF110" i="4"/>
  <c r="AE110" i="4"/>
  <c r="AD110" i="4"/>
  <c r="AC110" i="4"/>
  <c r="AA110" i="4"/>
  <c r="Z110" i="4"/>
  <c r="Y110" i="4"/>
  <c r="X110" i="4"/>
  <c r="W110" i="4"/>
  <c r="V110" i="4"/>
  <c r="U110" i="4"/>
  <c r="T110" i="4"/>
  <c r="S110" i="4"/>
  <c r="R110" i="4"/>
  <c r="AS109" i="4"/>
  <c r="AQ109" i="4"/>
  <c r="AO109" i="4"/>
  <c r="AK109" i="4"/>
  <c r="AJ109" i="4"/>
  <c r="AF109" i="4"/>
  <c r="AE109" i="4"/>
  <c r="AD109" i="4"/>
  <c r="AC109" i="4"/>
  <c r="AA109" i="4"/>
  <c r="Z109" i="4"/>
  <c r="Y109" i="4"/>
  <c r="X109" i="4"/>
  <c r="W109" i="4"/>
  <c r="V109" i="4"/>
  <c r="U109" i="4"/>
  <c r="T109" i="4"/>
  <c r="S109" i="4"/>
  <c r="R109" i="4"/>
  <c r="AS108" i="4"/>
  <c r="AQ108" i="4"/>
  <c r="AO108" i="4"/>
  <c r="AK108" i="4"/>
  <c r="AJ108" i="4"/>
  <c r="AF108" i="4"/>
  <c r="AE108" i="4"/>
  <c r="AD108" i="4"/>
  <c r="AC108" i="4"/>
  <c r="AA108" i="4"/>
  <c r="Z108" i="4"/>
  <c r="Y108" i="4"/>
  <c r="X108" i="4"/>
  <c r="W108" i="4"/>
  <c r="V108" i="4"/>
  <c r="U108" i="4"/>
  <c r="T108" i="4"/>
  <c r="S108" i="4"/>
  <c r="R108" i="4"/>
  <c r="AS107" i="4"/>
  <c r="AQ107" i="4"/>
  <c r="AO107" i="4"/>
  <c r="AK107" i="4"/>
  <c r="AJ107" i="4"/>
  <c r="AF107" i="4"/>
  <c r="AE107" i="4"/>
  <c r="AD107" i="4"/>
  <c r="AC107" i="4"/>
  <c r="AA107" i="4"/>
  <c r="Z107" i="4"/>
  <c r="Y107" i="4"/>
  <c r="X107" i="4"/>
  <c r="W107" i="4"/>
  <c r="V107" i="4"/>
  <c r="U107" i="4"/>
  <c r="T107" i="4"/>
  <c r="S107" i="4"/>
  <c r="R107" i="4"/>
  <c r="AS106" i="4"/>
  <c r="AQ106" i="4"/>
  <c r="AO106" i="4"/>
  <c r="AK106" i="4"/>
  <c r="AJ106" i="4"/>
  <c r="AF106" i="4"/>
  <c r="AE106" i="4"/>
  <c r="AD106" i="4"/>
  <c r="AC106" i="4"/>
  <c r="AA106" i="4"/>
  <c r="Z106" i="4"/>
  <c r="Y106" i="4"/>
  <c r="X106" i="4"/>
  <c r="W106" i="4"/>
  <c r="V106" i="4"/>
  <c r="U106" i="4"/>
  <c r="T106" i="4"/>
  <c r="S106" i="4"/>
  <c r="R106" i="4"/>
  <c r="AS105" i="4"/>
  <c r="AQ105" i="4"/>
  <c r="AO105" i="4"/>
  <c r="AK105" i="4"/>
  <c r="AJ105" i="4"/>
  <c r="AF105" i="4"/>
  <c r="AE105" i="4"/>
  <c r="AD105" i="4"/>
  <c r="AC105" i="4"/>
  <c r="AA105" i="4"/>
  <c r="Z105" i="4"/>
  <c r="Y105" i="4"/>
  <c r="X105" i="4"/>
  <c r="W105" i="4"/>
  <c r="V105" i="4"/>
  <c r="U105" i="4"/>
  <c r="T105" i="4"/>
  <c r="S105" i="4"/>
  <c r="R105" i="4"/>
  <c r="AS104" i="4"/>
  <c r="AQ104" i="4"/>
  <c r="AO104" i="4"/>
  <c r="AK104" i="4"/>
  <c r="AJ104" i="4"/>
  <c r="AF104" i="4"/>
  <c r="AE104" i="4"/>
  <c r="AD104" i="4"/>
  <c r="AC104" i="4"/>
  <c r="AA104" i="4"/>
  <c r="Z104" i="4"/>
  <c r="Y104" i="4"/>
  <c r="X104" i="4"/>
  <c r="W104" i="4"/>
  <c r="V104" i="4"/>
  <c r="U104" i="4"/>
  <c r="T104" i="4"/>
  <c r="S104" i="4"/>
  <c r="R104" i="4"/>
  <c r="AS103" i="4"/>
  <c r="AQ103" i="4"/>
  <c r="AO103" i="4"/>
  <c r="AK103" i="4"/>
  <c r="AJ103" i="4"/>
  <c r="AF103" i="4"/>
  <c r="AE103" i="4"/>
  <c r="AD103" i="4"/>
  <c r="AC103" i="4"/>
  <c r="AA103" i="4"/>
  <c r="Z103" i="4"/>
  <c r="Y103" i="4"/>
  <c r="X103" i="4"/>
  <c r="W103" i="4"/>
  <c r="V103" i="4"/>
  <c r="U103" i="4"/>
  <c r="T103" i="4"/>
  <c r="S103" i="4"/>
  <c r="R103" i="4"/>
  <c r="AS102" i="4"/>
  <c r="AQ102" i="4"/>
  <c r="AO102" i="4"/>
  <c r="AK102" i="4"/>
  <c r="AJ102" i="4"/>
  <c r="AF102" i="4"/>
  <c r="AE102" i="4"/>
  <c r="AD102" i="4"/>
  <c r="AC102" i="4"/>
  <c r="AA102" i="4"/>
  <c r="Z102" i="4"/>
  <c r="Y102" i="4"/>
  <c r="X102" i="4"/>
  <c r="W102" i="4"/>
  <c r="V102" i="4"/>
  <c r="U102" i="4"/>
  <c r="T102" i="4"/>
  <c r="S102" i="4"/>
  <c r="R102" i="4"/>
  <c r="AS101" i="4"/>
  <c r="AQ101" i="4"/>
  <c r="AO101" i="4"/>
  <c r="AK101" i="4"/>
  <c r="AJ101" i="4"/>
  <c r="AF101" i="4"/>
  <c r="AE101" i="4"/>
  <c r="AD101" i="4"/>
  <c r="AC101" i="4"/>
  <c r="AA101" i="4"/>
  <c r="Z101" i="4"/>
  <c r="Y101" i="4"/>
  <c r="X101" i="4"/>
  <c r="W101" i="4"/>
  <c r="V101" i="4"/>
  <c r="U101" i="4"/>
  <c r="T101" i="4"/>
  <c r="S101" i="4"/>
  <c r="R101" i="4"/>
  <c r="AS100" i="4"/>
  <c r="AQ100" i="4"/>
  <c r="AO100" i="4"/>
  <c r="AK100" i="4"/>
  <c r="AJ100" i="4"/>
  <c r="AF100" i="4"/>
  <c r="AE100" i="4"/>
  <c r="AD100" i="4"/>
  <c r="AC100" i="4"/>
  <c r="AA100" i="4"/>
  <c r="Z100" i="4"/>
  <c r="Y100" i="4"/>
  <c r="X100" i="4"/>
  <c r="W100" i="4"/>
  <c r="V100" i="4"/>
  <c r="U100" i="4"/>
  <c r="T100" i="4"/>
  <c r="S100" i="4"/>
  <c r="R100" i="4"/>
  <c r="AS99" i="4"/>
  <c r="AQ99" i="4"/>
  <c r="AO99" i="4"/>
  <c r="AK99" i="4"/>
  <c r="AJ99" i="4"/>
  <c r="AF99" i="4"/>
  <c r="AE99" i="4"/>
  <c r="AD99" i="4"/>
  <c r="AC99" i="4"/>
  <c r="AA99" i="4"/>
  <c r="Z99" i="4"/>
  <c r="Y99" i="4"/>
  <c r="X99" i="4"/>
  <c r="W99" i="4"/>
  <c r="V99" i="4"/>
  <c r="U99" i="4"/>
  <c r="T99" i="4"/>
  <c r="S99" i="4"/>
  <c r="R99" i="4"/>
  <c r="AS98" i="4"/>
  <c r="AQ98" i="4"/>
  <c r="AO98" i="4"/>
  <c r="AK98" i="4"/>
  <c r="AJ98" i="4"/>
  <c r="AF98" i="4"/>
  <c r="AE98" i="4"/>
  <c r="AD98" i="4"/>
  <c r="AC98" i="4"/>
  <c r="AA98" i="4"/>
  <c r="Z98" i="4"/>
  <c r="Y98" i="4"/>
  <c r="X98" i="4"/>
  <c r="W98" i="4"/>
  <c r="V98" i="4"/>
  <c r="U98" i="4"/>
  <c r="T98" i="4"/>
  <c r="S98" i="4"/>
  <c r="R98" i="4"/>
  <c r="AS97" i="4"/>
  <c r="AQ97" i="4"/>
  <c r="AO97" i="4"/>
  <c r="AK97" i="4"/>
  <c r="AJ97" i="4"/>
  <c r="AF97" i="4"/>
  <c r="AE97" i="4"/>
  <c r="AD97" i="4"/>
  <c r="AC97" i="4"/>
  <c r="AA97" i="4"/>
  <c r="Z97" i="4"/>
  <c r="Y97" i="4"/>
  <c r="X97" i="4"/>
  <c r="W97" i="4"/>
  <c r="V97" i="4"/>
  <c r="U97" i="4"/>
  <c r="T97" i="4"/>
  <c r="S97" i="4"/>
  <c r="R97" i="4"/>
  <c r="AS96" i="4"/>
  <c r="AQ96" i="4"/>
  <c r="AO96" i="4"/>
  <c r="AK96" i="4"/>
  <c r="AJ96" i="4"/>
  <c r="AF96" i="4"/>
  <c r="AE96" i="4"/>
  <c r="AD96" i="4"/>
  <c r="AC96" i="4"/>
  <c r="AA96" i="4"/>
  <c r="Z96" i="4"/>
  <c r="Y96" i="4"/>
  <c r="X96" i="4"/>
  <c r="W96" i="4"/>
  <c r="V96" i="4"/>
  <c r="U96" i="4"/>
  <c r="T96" i="4"/>
  <c r="S96" i="4"/>
  <c r="R96" i="4"/>
  <c r="AS95" i="4"/>
  <c r="AQ95" i="4"/>
  <c r="AO95" i="4"/>
  <c r="AK95" i="4"/>
  <c r="AJ95" i="4"/>
  <c r="AF95" i="4"/>
  <c r="AE95" i="4"/>
  <c r="AD95" i="4"/>
  <c r="AC95" i="4"/>
  <c r="AA95" i="4"/>
  <c r="Z95" i="4"/>
  <c r="Y95" i="4"/>
  <c r="X95" i="4"/>
  <c r="W95" i="4"/>
  <c r="V95" i="4"/>
  <c r="U95" i="4"/>
  <c r="T95" i="4"/>
  <c r="S95" i="4"/>
  <c r="R95" i="4"/>
  <c r="AS94" i="4"/>
  <c r="AQ94" i="4"/>
  <c r="AO94" i="4"/>
  <c r="AK94" i="4"/>
  <c r="AJ94" i="4"/>
  <c r="AF94" i="4"/>
  <c r="AE94" i="4"/>
  <c r="AD94" i="4"/>
  <c r="AC94" i="4"/>
  <c r="AA94" i="4"/>
  <c r="Z94" i="4"/>
  <c r="Y94" i="4"/>
  <c r="X94" i="4"/>
  <c r="W94" i="4"/>
  <c r="V94" i="4"/>
  <c r="U94" i="4"/>
  <c r="T94" i="4"/>
  <c r="S94" i="4"/>
  <c r="R94" i="4"/>
  <c r="AS93" i="4"/>
  <c r="AQ93" i="4"/>
  <c r="AO93" i="4"/>
  <c r="AK93" i="4"/>
  <c r="AJ93" i="4"/>
  <c r="AF93" i="4"/>
  <c r="AE93" i="4"/>
  <c r="AD93" i="4"/>
  <c r="AC93" i="4"/>
  <c r="AA93" i="4"/>
  <c r="Z93" i="4"/>
  <c r="Y93" i="4"/>
  <c r="X93" i="4"/>
  <c r="W93" i="4"/>
  <c r="V93" i="4"/>
  <c r="U93" i="4"/>
  <c r="T93" i="4"/>
  <c r="S93" i="4"/>
  <c r="R93" i="4"/>
  <c r="AS92" i="4"/>
  <c r="AQ92" i="4"/>
  <c r="AO92" i="4"/>
  <c r="AK92" i="4"/>
  <c r="AJ92" i="4"/>
  <c r="AF92" i="4"/>
  <c r="AE92" i="4"/>
  <c r="AD92" i="4"/>
  <c r="AC92" i="4"/>
  <c r="AA92" i="4"/>
  <c r="Z92" i="4"/>
  <c r="Y92" i="4"/>
  <c r="X92" i="4"/>
  <c r="W92" i="4"/>
  <c r="V92" i="4"/>
  <c r="U92" i="4"/>
  <c r="T92" i="4"/>
  <c r="S92" i="4"/>
  <c r="R92" i="4"/>
  <c r="AS91" i="4"/>
  <c r="AQ91" i="4"/>
  <c r="AO91" i="4"/>
  <c r="AK91" i="4"/>
  <c r="AJ91" i="4"/>
  <c r="AF91" i="4"/>
  <c r="AE91" i="4"/>
  <c r="AD91" i="4"/>
  <c r="AC91" i="4"/>
  <c r="AA91" i="4"/>
  <c r="Z91" i="4"/>
  <c r="Y91" i="4"/>
  <c r="X91" i="4"/>
  <c r="W91" i="4"/>
  <c r="V91" i="4"/>
  <c r="U91" i="4"/>
  <c r="T91" i="4"/>
  <c r="S91" i="4"/>
  <c r="R91" i="4"/>
  <c r="AS90" i="4"/>
  <c r="AQ90" i="4"/>
  <c r="AO90" i="4"/>
  <c r="AK90" i="4"/>
  <c r="AJ90" i="4"/>
  <c r="AF90" i="4"/>
  <c r="AE90" i="4"/>
  <c r="AD90" i="4"/>
  <c r="AC90" i="4"/>
  <c r="AA90" i="4"/>
  <c r="Z90" i="4"/>
  <c r="Y90" i="4"/>
  <c r="X90" i="4"/>
  <c r="W90" i="4"/>
  <c r="V90" i="4"/>
  <c r="U90" i="4"/>
  <c r="T90" i="4"/>
  <c r="S90" i="4"/>
  <c r="R90" i="4"/>
  <c r="AS89" i="4"/>
  <c r="AQ89" i="4"/>
  <c r="AO89" i="4"/>
  <c r="AK89" i="4"/>
  <c r="AJ89" i="4"/>
  <c r="AF89" i="4"/>
  <c r="AE89" i="4"/>
  <c r="AD89" i="4"/>
  <c r="AC89" i="4"/>
  <c r="AA89" i="4"/>
  <c r="Z89" i="4"/>
  <c r="Y89" i="4"/>
  <c r="X89" i="4"/>
  <c r="W89" i="4"/>
  <c r="V89" i="4"/>
  <c r="U89" i="4"/>
  <c r="T89" i="4"/>
  <c r="S89" i="4"/>
  <c r="R89" i="4"/>
  <c r="AS88" i="4"/>
  <c r="AQ88" i="4"/>
  <c r="AO88" i="4"/>
  <c r="AK88" i="4"/>
  <c r="AJ88" i="4"/>
  <c r="AF88" i="4"/>
  <c r="AE88" i="4"/>
  <c r="AD88" i="4"/>
  <c r="AC88" i="4"/>
  <c r="AA88" i="4"/>
  <c r="Z88" i="4"/>
  <c r="Y88" i="4"/>
  <c r="X88" i="4"/>
  <c r="W88" i="4"/>
  <c r="V88" i="4"/>
  <c r="U88" i="4"/>
  <c r="T88" i="4"/>
  <c r="S88" i="4"/>
  <c r="R88" i="4"/>
  <c r="AS87" i="4"/>
  <c r="AQ87" i="4"/>
  <c r="AO87" i="4"/>
  <c r="AK87" i="4"/>
  <c r="AJ87" i="4"/>
  <c r="AF87" i="4"/>
  <c r="AE87" i="4"/>
  <c r="AD87" i="4"/>
  <c r="AC87" i="4"/>
  <c r="AA87" i="4"/>
  <c r="Z87" i="4"/>
  <c r="Y87" i="4"/>
  <c r="X87" i="4"/>
  <c r="W87" i="4"/>
  <c r="V87" i="4"/>
  <c r="U87" i="4"/>
  <c r="T87" i="4"/>
  <c r="S87" i="4"/>
  <c r="R87" i="4"/>
  <c r="AS86" i="4"/>
  <c r="AQ86" i="4"/>
  <c r="AO86" i="4"/>
  <c r="AK86" i="4"/>
  <c r="AJ86" i="4"/>
  <c r="AF86" i="4"/>
  <c r="AE86" i="4"/>
  <c r="AD86" i="4"/>
  <c r="AC86" i="4"/>
  <c r="AA86" i="4"/>
  <c r="Z86" i="4"/>
  <c r="Y86" i="4"/>
  <c r="X86" i="4"/>
  <c r="W86" i="4"/>
  <c r="V86" i="4"/>
  <c r="U86" i="4"/>
  <c r="T86" i="4"/>
  <c r="S86" i="4"/>
  <c r="R86" i="4"/>
  <c r="AS85" i="4"/>
  <c r="AQ85" i="4"/>
  <c r="AO85" i="4"/>
  <c r="AK85" i="4"/>
  <c r="AJ85" i="4"/>
  <c r="AF85" i="4"/>
  <c r="AE85" i="4"/>
  <c r="AD85" i="4"/>
  <c r="AC85" i="4"/>
  <c r="AA85" i="4"/>
  <c r="Z85" i="4"/>
  <c r="Y85" i="4"/>
  <c r="X85" i="4"/>
  <c r="W85" i="4"/>
  <c r="V85" i="4"/>
  <c r="U85" i="4"/>
  <c r="T85" i="4"/>
  <c r="S85" i="4"/>
  <c r="R85" i="4"/>
  <c r="AS84" i="4"/>
  <c r="AQ84" i="4"/>
  <c r="AO84" i="4"/>
  <c r="AK84" i="4"/>
  <c r="AJ84" i="4"/>
  <c r="AF84" i="4"/>
  <c r="AE84" i="4"/>
  <c r="AD84" i="4"/>
  <c r="AC84" i="4"/>
  <c r="AA84" i="4"/>
  <c r="Z84" i="4"/>
  <c r="Y84" i="4"/>
  <c r="X84" i="4"/>
  <c r="W84" i="4"/>
  <c r="V84" i="4"/>
  <c r="U84" i="4"/>
  <c r="T84" i="4"/>
  <c r="S84" i="4"/>
  <c r="R84" i="4"/>
  <c r="AS83" i="4"/>
  <c r="AQ83" i="4"/>
  <c r="AO83" i="4"/>
  <c r="AK83" i="4"/>
  <c r="AJ83" i="4"/>
  <c r="AF83" i="4"/>
  <c r="AE83" i="4"/>
  <c r="AD83" i="4"/>
  <c r="AC83" i="4"/>
  <c r="AA83" i="4"/>
  <c r="Z83" i="4"/>
  <c r="Y83" i="4"/>
  <c r="X83" i="4"/>
  <c r="W83" i="4"/>
  <c r="V83" i="4"/>
  <c r="U83" i="4"/>
  <c r="T83" i="4"/>
  <c r="S83" i="4"/>
  <c r="R83" i="4"/>
  <c r="AS82" i="4"/>
  <c r="AQ82" i="4"/>
  <c r="AO82" i="4"/>
  <c r="AK82" i="4"/>
  <c r="AJ82" i="4"/>
  <c r="AF82" i="4"/>
  <c r="AE82" i="4"/>
  <c r="AD82" i="4"/>
  <c r="AC82" i="4"/>
  <c r="AA82" i="4"/>
  <c r="Z82" i="4"/>
  <c r="Y82" i="4"/>
  <c r="X82" i="4"/>
  <c r="W82" i="4"/>
  <c r="V82" i="4"/>
  <c r="U82" i="4"/>
  <c r="T82" i="4"/>
  <c r="S82" i="4"/>
  <c r="R82" i="4"/>
  <c r="AS81" i="4"/>
  <c r="AQ81" i="4"/>
  <c r="AO81" i="4"/>
  <c r="AK81" i="4"/>
  <c r="AJ81" i="4"/>
  <c r="AF81" i="4"/>
  <c r="AE81" i="4"/>
  <c r="AD81" i="4"/>
  <c r="AC81" i="4"/>
  <c r="AA81" i="4"/>
  <c r="Z81" i="4"/>
  <c r="Y81" i="4"/>
  <c r="X81" i="4"/>
  <c r="W81" i="4"/>
  <c r="V81" i="4"/>
  <c r="U81" i="4"/>
  <c r="T81" i="4"/>
  <c r="S81" i="4"/>
  <c r="R81" i="4"/>
  <c r="AS80" i="4"/>
  <c r="AQ80" i="4"/>
  <c r="AO80" i="4"/>
  <c r="AK80" i="4"/>
  <c r="AJ80" i="4"/>
  <c r="AF80" i="4"/>
  <c r="AE80" i="4"/>
  <c r="AD80" i="4"/>
  <c r="AC80" i="4"/>
  <c r="AA80" i="4"/>
  <c r="Z80" i="4"/>
  <c r="Y80" i="4"/>
  <c r="X80" i="4"/>
  <c r="W80" i="4"/>
  <c r="V80" i="4"/>
  <c r="U80" i="4"/>
  <c r="T80" i="4"/>
  <c r="S80" i="4"/>
  <c r="R80" i="4"/>
  <c r="AS79" i="4"/>
  <c r="AQ79" i="4"/>
  <c r="AO79" i="4"/>
  <c r="AK79" i="4"/>
  <c r="AJ79" i="4"/>
  <c r="AF79" i="4"/>
  <c r="AE79" i="4"/>
  <c r="AD79" i="4"/>
  <c r="AC79" i="4"/>
  <c r="AA79" i="4"/>
  <c r="Z79" i="4"/>
  <c r="Y79" i="4"/>
  <c r="X79" i="4"/>
  <c r="W79" i="4"/>
  <c r="V79" i="4"/>
  <c r="U79" i="4"/>
  <c r="T79" i="4"/>
  <c r="S79" i="4"/>
  <c r="R79" i="4"/>
  <c r="AS78" i="4"/>
  <c r="AQ78" i="4"/>
  <c r="AO78" i="4"/>
  <c r="AK78" i="4"/>
  <c r="AJ78" i="4"/>
  <c r="AF78" i="4"/>
  <c r="AE78" i="4"/>
  <c r="AD78" i="4"/>
  <c r="AC78" i="4"/>
  <c r="AA78" i="4"/>
  <c r="Z78" i="4"/>
  <c r="Y78" i="4"/>
  <c r="X78" i="4"/>
  <c r="W78" i="4"/>
  <c r="V78" i="4"/>
  <c r="U78" i="4"/>
  <c r="T78" i="4"/>
  <c r="S78" i="4"/>
  <c r="R78" i="4"/>
  <c r="AS77" i="4"/>
  <c r="AQ77" i="4"/>
  <c r="AO77" i="4"/>
  <c r="AK77" i="4"/>
  <c r="AJ77" i="4"/>
  <c r="AF77" i="4"/>
  <c r="AE77" i="4"/>
  <c r="AD77" i="4"/>
  <c r="AC77" i="4"/>
  <c r="AA77" i="4"/>
  <c r="Z77" i="4"/>
  <c r="Y77" i="4"/>
  <c r="X77" i="4"/>
  <c r="W77" i="4"/>
  <c r="V77" i="4"/>
  <c r="U77" i="4"/>
  <c r="T77" i="4"/>
  <c r="S77" i="4"/>
  <c r="R77" i="4"/>
  <c r="AS76" i="4"/>
  <c r="AQ76" i="4"/>
  <c r="AO76" i="4"/>
  <c r="AK76" i="4"/>
  <c r="AJ76" i="4"/>
  <c r="AF76" i="4"/>
  <c r="AE76" i="4"/>
  <c r="AD76" i="4"/>
  <c r="AC76" i="4"/>
  <c r="AA76" i="4"/>
  <c r="Z76" i="4"/>
  <c r="Y76" i="4"/>
  <c r="X76" i="4"/>
  <c r="W76" i="4"/>
  <c r="V76" i="4"/>
  <c r="U76" i="4"/>
  <c r="T76" i="4"/>
  <c r="S76" i="4"/>
  <c r="R76" i="4"/>
  <c r="AS75" i="4"/>
  <c r="AQ75" i="4"/>
  <c r="AO75" i="4"/>
  <c r="AK75" i="4"/>
  <c r="AJ75" i="4"/>
  <c r="AF75" i="4"/>
  <c r="AE75" i="4"/>
  <c r="AD75" i="4"/>
  <c r="AC75" i="4"/>
  <c r="AA75" i="4"/>
  <c r="Z75" i="4"/>
  <c r="Y75" i="4"/>
  <c r="X75" i="4"/>
  <c r="W75" i="4"/>
  <c r="V75" i="4"/>
  <c r="U75" i="4"/>
  <c r="T75" i="4"/>
  <c r="S75" i="4"/>
  <c r="R75" i="4"/>
  <c r="AS74" i="4"/>
  <c r="AQ74" i="4"/>
  <c r="AO74" i="4"/>
  <c r="AK74" i="4"/>
  <c r="AJ74" i="4"/>
  <c r="AF74" i="4"/>
  <c r="AE74" i="4"/>
  <c r="AD74" i="4"/>
  <c r="AC74" i="4"/>
  <c r="AA74" i="4"/>
  <c r="Z74" i="4"/>
  <c r="Y74" i="4"/>
  <c r="X74" i="4"/>
  <c r="W74" i="4"/>
  <c r="V74" i="4"/>
  <c r="U74" i="4"/>
  <c r="T74" i="4"/>
  <c r="S74" i="4"/>
  <c r="R74" i="4"/>
  <c r="AS73" i="4"/>
  <c r="AQ73" i="4"/>
  <c r="AO73" i="4"/>
  <c r="AK73" i="4"/>
  <c r="AJ73" i="4"/>
  <c r="AF73" i="4"/>
  <c r="AE73" i="4"/>
  <c r="AD73" i="4"/>
  <c r="AC73" i="4"/>
  <c r="AA73" i="4"/>
  <c r="Z73" i="4"/>
  <c r="Y73" i="4"/>
  <c r="X73" i="4"/>
  <c r="W73" i="4"/>
  <c r="V73" i="4"/>
  <c r="U73" i="4"/>
  <c r="T73" i="4"/>
  <c r="S73" i="4"/>
  <c r="R73" i="4"/>
  <c r="AS72" i="4"/>
  <c r="AQ72" i="4"/>
  <c r="AO72" i="4"/>
  <c r="AK72" i="4"/>
  <c r="AJ72" i="4"/>
  <c r="AF72" i="4"/>
  <c r="AE72" i="4"/>
  <c r="AD72" i="4"/>
  <c r="AC72" i="4"/>
  <c r="AA72" i="4"/>
  <c r="Z72" i="4"/>
  <c r="Y72" i="4"/>
  <c r="X72" i="4"/>
  <c r="W72" i="4"/>
  <c r="V72" i="4"/>
  <c r="U72" i="4"/>
  <c r="T72" i="4"/>
  <c r="S72" i="4"/>
  <c r="R72" i="4"/>
  <c r="AS71" i="4"/>
  <c r="AQ71" i="4"/>
  <c r="AO71" i="4"/>
  <c r="AK71" i="4"/>
  <c r="AJ71" i="4"/>
  <c r="AF71" i="4"/>
  <c r="AE71" i="4"/>
  <c r="AD71" i="4"/>
  <c r="AC71" i="4"/>
  <c r="AA71" i="4"/>
  <c r="Z71" i="4"/>
  <c r="Y71" i="4"/>
  <c r="X71" i="4"/>
  <c r="W71" i="4"/>
  <c r="V71" i="4"/>
  <c r="U71" i="4"/>
  <c r="T71" i="4"/>
  <c r="S71" i="4"/>
  <c r="R71" i="4"/>
  <c r="AS70" i="4"/>
  <c r="AQ70" i="4"/>
  <c r="AO70" i="4"/>
  <c r="AK70" i="4"/>
  <c r="AJ70" i="4"/>
  <c r="AF70" i="4"/>
  <c r="AE70" i="4"/>
  <c r="AD70" i="4"/>
  <c r="AC70" i="4"/>
  <c r="AA70" i="4"/>
  <c r="Z70" i="4"/>
  <c r="Y70" i="4"/>
  <c r="X70" i="4"/>
  <c r="W70" i="4"/>
  <c r="V70" i="4"/>
  <c r="U70" i="4"/>
  <c r="T70" i="4"/>
  <c r="S70" i="4"/>
  <c r="R70" i="4"/>
  <c r="AS69" i="4"/>
  <c r="AQ69" i="4"/>
  <c r="AO69" i="4"/>
  <c r="AK69" i="4"/>
  <c r="AJ69" i="4"/>
  <c r="AF69" i="4"/>
  <c r="AE69" i="4"/>
  <c r="AD69" i="4"/>
  <c r="AC69" i="4"/>
  <c r="AA69" i="4"/>
  <c r="Z69" i="4"/>
  <c r="Y69" i="4"/>
  <c r="X69" i="4"/>
  <c r="W69" i="4"/>
  <c r="V69" i="4"/>
  <c r="U69" i="4"/>
  <c r="T69" i="4"/>
  <c r="S69" i="4"/>
  <c r="R69" i="4"/>
  <c r="AS68" i="4"/>
  <c r="AQ68" i="4"/>
  <c r="AO68" i="4"/>
  <c r="AK68" i="4"/>
  <c r="AJ68" i="4"/>
  <c r="AF68" i="4"/>
  <c r="AE68" i="4"/>
  <c r="AD68" i="4"/>
  <c r="AC68" i="4"/>
  <c r="AA68" i="4"/>
  <c r="Z68" i="4"/>
  <c r="Y68" i="4"/>
  <c r="X68" i="4"/>
  <c r="W68" i="4"/>
  <c r="V68" i="4"/>
  <c r="U68" i="4"/>
  <c r="T68" i="4"/>
  <c r="S68" i="4"/>
  <c r="R68" i="4"/>
  <c r="AS67" i="4"/>
  <c r="AQ67" i="4"/>
  <c r="AO67" i="4"/>
  <c r="AK67" i="4"/>
  <c r="AJ67" i="4"/>
  <c r="AF67" i="4"/>
  <c r="AE67" i="4"/>
  <c r="AD67" i="4"/>
  <c r="AC67" i="4"/>
  <c r="AA67" i="4"/>
  <c r="Z67" i="4"/>
  <c r="Y67" i="4"/>
  <c r="X67" i="4"/>
  <c r="W67" i="4"/>
  <c r="V67" i="4"/>
  <c r="U67" i="4"/>
  <c r="T67" i="4"/>
  <c r="S67" i="4"/>
  <c r="R67" i="4"/>
  <c r="AS66" i="4"/>
  <c r="AQ66" i="4"/>
  <c r="AO66" i="4"/>
  <c r="AK66" i="4"/>
  <c r="AJ66" i="4"/>
  <c r="AF66" i="4"/>
  <c r="AE66" i="4"/>
  <c r="AD66" i="4"/>
  <c r="AC66" i="4"/>
  <c r="AA66" i="4"/>
  <c r="Z66" i="4"/>
  <c r="Y66" i="4"/>
  <c r="X66" i="4"/>
  <c r="W66" i="4"/>
  <c r="V66" i="4"/>
  <c r="U66" i="4"/>
  <c r="T66" i="4"/>
  <c r="S66" i="4"/>
  <c r="R66" i="4"/>
  <c r="AS65" i="4"/>
  <c r="AQ65" i="4"/>
  <c r="AO65" i="4"/>
  <c r="AK65" i="4"/>
  <c r="AJ65" i="4"/>
  <c r="AF65" i="4"/>
  <c r="AE65" i="4"/>
  <c r="AD65" i="4"/>
  <c r="AC65" i="4"/>
  <c r="AA65" i="4"/>
  <c r="Z65" i="4"/>
  <c r="Y65" i="4"/>
  <c r="X65" i="4"/>
  <c r="W65" i="4"/>
  <c r="V65" i="4"/>
  <c r="U65" i="4"/>
  <c r="T65" i="4"/>
  <c r="S65" i="4"/>
  <c r="R65" i="4"/>
  <c r="AS64" i="4"/>
  <c r="AQ64" i="4"/>
  <c r="AO64" i="4"/>
  <c r="AK64" i="4"/>
  <c r="AJ64" i="4"/>
  <c r="AF64" i="4"/>
  <c r="AE64" i="4"/>
  <c r="AD64" i="4"/>
  <c r="AC64" i="4"/>
  <c r="AA64" i="4"/>
  <c r="Z64" i="4"/>
  <c r="Y64" i="4"/>
  <c r="X64" i="4"/>
  <c r="W64" i="4"/>
  <c r="V64" i="4"/>
  <c r="U64" i="4"/>
  <c r="T64" i="4"/>
  <c r="S64" i="4"/>
  <c r="R64" i="4"/>
  <c r="AS63" i="4"/>
  <c r="AQ63" i="4"/>
  <c r="AO63" i="4"/>
  <c r="AK63" i="4"/>
  <c r="AJ63" i="4"/>
  <c r="AF63" i="4"/>
  <c r="AE63" i="4"/>
  <c r="AD63" i="4"/>
  <c r="AC63" i="4"/>
  <c r="AA63" i="4"/>
  <c r="Z63" i="4"/>
  <c r="Y63" i="4"/>
  <c r="X63" i="4"/>
  <c r="W63" i="4"/>
  <c r="V63" i="4"/>
  <c r="U63" i="4"/>
  <c r="T63" i="4"/>
  <c r="S63" i="4"/>
  <c r="R63" i="4"/>
  <c r="AS62" i="4"/>
  <c r="AQ62" i="4"/>
  <c r="AO62" i="4"/>
  <c r="AK62" i="4"/>
  <c r="AJ62" i="4"/>
  <c r="AF62" i="4"/>
  <c r="AE62" i="4"/>
  <c r="AD62" i="4"/>
  <c r="AC62" i="4"/>
  <c r="AA62" i="4"/>
  <c r="Z62" i="4"/>
  <c r="Y62" i="4"/>
  <c r="X62" i="4"/>
  <c r="W62" i="4"/>
  <c r="V62" i="4"/>
  <c r="U62" i="4"/>
  <c r="T62" i="4"/>
  <c r="S62" i="4"/>
  <c r="R62" i="4"/>
  <c r="AS61" i="4"/>
  <c r="AQ61" i="4"/>
  <c r="AO61" i="4"/>
  <c r="AK61" i="4"/>
  <c r="AJ61" i="4"/>
  <c r="AF61" i="4"/>
  <c r="AE61" i="4"/>
  <c r="AD61" i="4"/>
  <c r="AC61" i="4"/>
  <c r="AA61" i="4"/>
  <c r="Z61" i="4"/>
  <c r="Y61" i="4"/>
  <c r="X61" i="4"/>
  <c r="W61" i="4"/>
  <c r="V61" i="4"/>
  <c r="U61" i="4"/>
  <c r="T61" i="4"/>
  <c r="S61" i="4"/>
  <c r="R61" i="4"/>
  <c r="AS60" i="4"/>
  <c r="AQ60" i="4"/>
  <c r="AO60" i="4"/>
  <c r="AK60" i="4"/>
  <c r="AJ60" i="4"/>
  <c r="AF60" i="4"/>
  <c r="AE60" i="4"/>
  <c r="AD60" i="4"/>
  <c r="AC60" i="4"/>
  <c r="AA60" i="4"/>
  <c r="Z60" i="4"/>
  <c r="Y60" i="4"/>
  <c r="X60" i="4"/>
  <c r="W60" i="4"/>
  <c r="V60" i="4"/>
  <c r="U60" i="4"/>
  <c r="T60" i="4"/>
  <c r="S60" i="4"/>
  <c r="R60" i="4"/>
  <c r="AS59" i="4"/>
  <c r="AQ59" i="4"/>
  <c r="AO59" i="4"/>
  <c r="AK59" i="4"/>
  <c r="AJ59" i="4"/>
  <c r="AF59" i="4"/>
  <c r="AE59" i="4"/>
  <c r="AD59" i="4"/>
  <c r="AC59" i="4"/>
  <c r="AA59" i="4"/>
  <c r="Z59" i="4"/>
  <c r="Y59" i="4"/>
  <c r="X59" i="4"/>
  <c r="W59" i="4"/>
  <c r="V59" i="4"/>
  <c r="U59" i="4"/>
  <c r="T59" i="4"/>
  <c r="S59" i="4"/>
  <c r="R59" i="4"/>
  <c r="AS58" i="4"/>
  <c r="AQ58" i="4"/>
  <c r="AO58" i="4"/>
  <c r="AK58" i="4"/>
  <c r="AJ58" i="4"/>
  <c r="AF58" i="4"/>
  <c r="AE58" i="4"/>
  <c r="AD58" i="4"/>
  <c r="AC58" i="4"/>
  <c r="AA58" i="4"/>
  <c r="Z58" i="4"/>
  <c r="Y58" i="4"/>
  <c r="X58" i="4"/>
  <c r="W58" i="4"/>
  <c r="V58" i="4"/>
  <c r="U58" i="4"/>
  <c r="T58" i="4"/>
  <c r="S58" i="4"/>
  <c r="R58" i="4"/>
  <c r="AS57" i="4"/>
  <c r="AQ57" i="4"/>
  <c r="AO57" i="4"/>
  <c r="AK57" i="4"/>
  <c r="AJ57" i="4"/>
  <c r="AF57" i="4"/>
  <c r="AE57" i="4"/>
  <c r="AD57" i="4"/>
  <c r="AC57" i="4"/>
  <c r="AA57" i="4"/>
  <c r="Z57" i="4"/>
  <c r="Y57" i="4"/>
  <c r="X57" i="4"/>
  <c r="W57" i="4"/>
  <c r="V57" i="4"/>
  <c r="U57" i="4"/>
  <c r="T57" i="4"/>
  <c r="S57" i="4"/>
  <c r="R57" i="4"/>
  <c r="AS56" i="4"/>
  <c r="AQ56" i="4"/>
  <c r="AO56" i="4"/>
  <c r="AK56" i="4"/>
  <c r="AJ56" i="4"/>
  <c r="AF56" i="4"/>
  <c r="AE56" i="4"/>
  <c r="AD56" i="4"/>
  <c r="AC56" i="4"/>
  <c r="AA56" i="4"/>
  <c r="Z56" i="4"/>
  <c r="Y56" i="4"/>
  <c r="X56" i="4"/>
  <c r="W56" i="4"/>
  <c r="V56" i="4"/>
  <c r="U56" i="4"/>
  <c r="T56" i="4"/>
  <c r="S56" i="4"/>
  <c r="R56" i="4"/>
  <c r="AS55" i="4"/>
  <c r="AQ55" i="4"/>
  <c r="AO55" i="4"/>
  <c r="AK55" i="4"/>
  <c r="AJ55" i="4"/>
  <c r="AF55" i="4"/>
  <c r="AE55" i="4"/>
  <c r="AD55" i="4"/>
  <c r="AC55" i="4"/>
  <c r="AA55" i="4"/>
  <c r="Z55" i="4"/>
  <c r="Y55" i="4"/>
  <c r="X55" i="4"/>
  <c r="W55" i="4"/>
  <c r="V55" i="4"/>
  <c r="U55" i="4"/>
  <c r="T55" i="4"/>
  <c r="S55" i="4"/>
  <c r="R55" i="4"/>
  <c r="AS54" i="4"/>
  <c r="AQ54" i="4"/>
  <c r="AO54" i="4"/>
  <c r="AK54" i="4"/>
  <c r="AJ54" i="4"/>
  <c r="AF54" i="4"/>
  <c r="AE54" i="4"/>
  <c r="AD54" i="4"/>
  <c r="AC54" i="4"/>
  <c r="AA54" i="4"/>
  <c r="Z54" i="4"/>
  <c r="Y54" i="4"/>
  <c r="X54" i="4"/>
  <c r="W54" i="4"/>
  <c r="V54" i="4"/>
  <c r="U54" i="4"/>
  <c r="T54" i="4"/>
  <c r="S54" i="4"/>
  <c r="R54" i="4"/>
  <c r="AS53" i="4"/>
  <c r="AQ53" i="4"/>
  <c r="AO53" i="4"/>
  <c r="AK53" i="4"/>
  <c r="AJ53" i="4"/>
  <c r="AF53" i="4"/>
  <c r="AE53" i="4"/>
  <c r="AD53" i="4"/>
  <c r="AC53" i="4"/>
  <c r="AA53" i="4"/>
  <c r="Z53" i="4"/>
  <c r="Y53" i="4"/>
  <c r="X53" i="4"/>
  <c r="W53" i="4"/>
  <c r="V53" i="4"/>
  <c r="U53" i="4"/>
  <c r="T53" i="4"/>
  <c r="S53" i="4"/>
  <c r="R53" i="4"/>
  <c r="AS52" i="4"/>
  <c r="AQ52" i="4"/>
  <c r="AO52" i="4"/>
  <c r="AK52" i="4"/>
  <c r="AJ52" i="4"/>
  <c r="AF52" i="4"/>
  <c r="AE52" i="4"/>
  <c r="AD52" i="4"/>
  <c r="AC52" i="4"/>
  <c r="AA52" i="4"/>
  <c r="Z52" i="4"/>
  <c r="Y52" i="4"/>
  <c r="X52" i="4"/>
  <c r="W52" i="4"/>
  <c r="V52" i="4"/>
  <c r="U52" i="4"/>
  <c r="T52" i="4"/>
  <c r="S52" i="4"/>
  <c r="R52" i="4"/>
  <c r="AS51" i="4"/>
  <c r="AQ51" i="4"/>
  <c r="AO51" i="4"/>
  <c r="AK51" i="4"/>
  <c r="AJ51" i="4"/>
  <c r="AF51" i="4"/>
  <c r="AE51" i="4"/>
  <c r="AD51" i="4"/>
  <c r="AC51" i="4"/>
  <c r="AA51" i="4"/>
  <c r="Z51" i="4"/>
  <c r="Y51" i="4"/>
  <c r="X51" i="4"/>
  <c r="W51" i="4"/>
  <c r="V51" i="4"/>
  <c r="U51" i="4"/>
  <c r="T51" i="4"/>
  <c r="S51" i="4"/>
  <c r="R51" i="4"/>
  <c r="AS50" i="4"/>
  <c r="AQ50" i="4"/>
  <c r="AO50" i="4"/>
  <c r="AK50" i="4"/>
  <c r="AJ50" i="4"/>
  <c r="AF50" i="4"/>
  <c r="AE50" i="4"/>
  <c r="AD50" i="4"/>
  <c r="AC50" i="4"/>
  <c r="AA50" i="4"/>
  <c r="Z50" i="4"/>
  <c r="Y50" i="4"/>
  <c r="X50" i="4"/>
  <c r="W50" i="4"/>
  <c r="V50" i="4"/>
  <c r="U50" i="4"/>
  <c r="T50" i="4"/>
  <c r="S50" i="4"/>
  <c r="R50" i="4"/>
  <c r="AS49" i="4"/>
  <c r="AQ49" i="4"/>
  <c r="AO49" i="4"/>
  <c r="AK49" i="4"/>
  <c r="AJ49" i="4"/>
  <c r="AF49" i="4"/>
  <c r="AE49" i="4"/>
  <c r="AD49" i="4"/>
  <c r="AC49" i="4"/>
  <c r="AA49" i="4"/>
  <c r="Z49" i="4"/>
  <c r="Y49" i="4"/>
  <c r="X49" i="4"/>
  <c r="W49" i="4"/>
  <c r="V49" i="4"/>
  <c r="U49" i="4"/>
  <c r="T49" i="4"/>
  <c r="S49" i="4"/>
  <c r="R49" i="4"/>
  <c r="AS48" i="4"/>
  <c r="AQ48" i="4"/>
  <c r="AO48" i="4"/>
  <c r="AK48" i="4"/>
  <c r="AJ48" i="4"/>
  <c r="AF48" i="4"/>
  <c r="AE48" i="4"/>
  <c r="AD48" i="4"/>
  <c r="AC48" i="4"/>
  <c r="AA48" i="4"/>
  <c r="Z48" i="4"/>
  <c r="Y48" i="4"/>
  <c r="X48" i="4"/>
  <c r="W48" i="4"/>
  <c r="V48" i="4"/>
  <c r="U48" i="4"/>
  <c r="T48" i="4"/>
  <c r="S48" i="4"/>
  <c r="R48" i="4"/>
  <c r="AS47" i="4"/>
  <c r="AQ47" i="4"/>
  <c r="AO47" i="4"/>
  <c r="AK47" i="4"/>
  <c r="AJ47" i="4"/>
  <c r="AF47" i="4"/>
  <c r="AE47" i="4"/>
  <c r="AD47" i="4"/>
  <c r="AC47" i="4"/>
  <c r="AA47" i="4"/>
  <c r="Z47" i="4"/>
  <c r="Y47" i="4"/>
  <c r="X47" i="4"/>
  <c r="W47" i="4"/>
  <c r="V47" i="4"/>
  <c r="U47" i="4"/>
  <c r="T47" i="4"/>
  <c r="S47" i="4"/>
  <c r="R47" i="4"/>
  <c r="AS46" i="4"/>
  <c r="AQ46" i="4"/>
  <c r="AO46" i="4"/>
  <c r="AK46" i="4"/>
  <c r="AJ46" i="4"/>
  <c r="AF46" i="4"/>
  <c r="AE46" i="4"/>
  <c r="AD46" i="4"/>
  <c r="AC46" i="4"/>
  <c r="AA46" i="4"/>
  <c r="Z46" i="4"/>
  <c r="Y46" i="4"/>
  <c r="X46" i="4"/>
  <c r="W46" i="4"/>
  <c r="V46" i="4"/>
  <c r="U46" i="4"/>
  <c r="T46" i="4"/>
  <c r="S46" i="4"/>
  <c r="R46" i="4"/>
  <c r="AS45" i="4"/>
  <c r="AQ45" i="4"/>
  <c r="AO45" i="4"/>
  <c r="AK45" i="4"/>
  <c r="AJ45" i="4"/>
  <c r="AF45" i="4"/>
  <c r="AE45" i="4"/>
  <c r="AD45" i="4"/>
  <c r="AC45" i="4"/>
  <c r="AA45" i="4"/>
  <c r="Z45" i="4"/>
  <c r="Y45" i="4"/>
  <c r="X45" i="4"/>
  <c r="W45" i="4"/>
  <c r="V45" i="4"/>
  <c r="U45" i="4"/>
  <c r="T45" i="4"/>
  <c r="S45" i="4"/>
  <c r="R45" i="4"/>
  <c r="AS44" i="4"/>
  <c r="AQ44" i="4"/>
  <c r="AO44" i="4"/>
  <c r="AK44" i="4"/>
  <c r="AJ44" i="4"/>
  <c r="AF44" i="4"/>
  <c r="AE44" i="4"/>
  <c r="AD44" i="4"/>
  <c r="AC44" i="4"/>
  <c r="AA44" i="4"/>
  <c r="Z44" i="4"/>
  <c r="Y44" i="4"/>
  <c r="X44" i="4"/>
  <c r="W44" i="4"/>
  <c r="V44" i="4"/>
  <c r="U44" i="4"/>
  <c r="T44" i="4"/>
  <c r="S44" i="4"/>
  <c r="R44" i="4"/>
  <c r="AS43" i="4"/>
  <c r="AQ43" i="4"/>
  <c r="AO43" i="4"/>
  <c r="AK43" i="4"/>
  <c r="AJ43" i="4"/>
  <c r="AF43" i="4"/>
  <c r="AE43" i="4"/>
  <c r="AD43" i="4"/>
  <c r="AC43" i="4"/>
  <c r="AA43" i="4"/>
  <c r="Z43" i="4"/>
  <c r="Y43" i="4"/>
  <c r="X43" i="4"/>
  <c r="W43" i="4"/>
  <c r="V43" i="4"/>
  <c r="U43" i="4"/>
  <c r="T43" i="4"/>
  <c r="S43" i="4"/>
  <c r="R43" i="4"/>
  <c r="AS42" i="4"/>
  <c r="AQ42" i="4"/>
  <c r="AO42" i="4"/>
  <c r="AK42" i="4"/>
  <c r="AJ42" i="4"/>
  <c r="AF42" i="4"/>
  <c r="AE42" i="4"/>
  <c r="AD42" i="4"/>
  <c r="AC42" i="4"/>
  <c r="AA42" i="4"/>
  <c r="Z42" i="4"/>
  <c r="Y42" i="4"/>
  <c r="X42" i="4"/>
  <c r="W42" i="4"/>
  <c r="V42" i="4"/>
  <c r="U42" i="4"/>
  <c r="T42" i="4"/>
  <c r="S42" i="4"/>
  <c r="R42" i="4"/>
  <c r="AS41" i="4"/>
  <c r="AQ41" i="4"/>
  <c r="AO41" i="4"/>
  <c r="AK41" i="4"/>
  <c r="AJ41" i="4"/>
  <c r="AF41" i="4"/>
  <c r="AE41" i="4"/>
  <c r="AD41" i="4"/>
  <c r="AC41" i="4"/>
  <c r="AA41" i="4"/>
  <c r="Z41" i="4"/>
  <c r="Y41" i="4"/>
  <c r="X41" i="4"/>
  <c r="W41" i="4"/>
  <c r="V41" i="4"/>
  <c r="U41" i="4"/>
  <c r="T41" i="4"/>
  <c r="S41" i="4"/>
  <c r="R41" i="4"/>
  <c r="AS40" i="4"/>
  <c r="AQ40" i="4"/>
  <c r="AO40" i="4"/>
  <c r="AK40" i="4"/>
  <c r="AJ40" i="4"/>
  <c r="AF40" i="4"/>
  <c r="AE40" i="4"/>
  <c r="AD40" i="4"/>
  <c r="AC40" i="4"/>
  <c r="AA40" i="4"/>
  <c r="Z40" i="4"/>
  <c r="Y40" i="4"/>
  <c r="X40" i="4"/>
  <c r="W40" i="4"/>
  <c r="V40" i="4"/>
  <c r="U40" i="4"/>
  <c r="T40" i="4"/>
  <c r="S40" i="4"/>
  <c r="R40" i="4"/>
  <c r="AS39" i="4"/>
  <c r="AQ39" i="4"/>
  <c r="AO39" i="4"/>
  <c r="AK39" i="4"/>
  <c r="AJ39" i="4"/>
  <c r="AF39" i="4"/>
  <c r="AE39" i="4"/>
  <c r="AD39" i="4"/>
  <c r="AC39" i="4"/>
  <c r="AA39" i="4"/>
  <c r="Z39" i="4"/>
  <c r="Y39" i="4"/>
  <c r="X39" i="4"/>
  <c r="W39" i="4"/>
  <c r="V39" i="4"/>
  <c r="U39" i="4"/>
  <c r="T39" i="4"/>
  <c r="S39" i="4"/>
  <c r="R39" i="4"/>
  <c r="AS38" i="4"/>
  <c r="AQ38" i="4"/>
  <c r="AO38" i="4"/>
  <c r="AK38" i="4"/>
  <c r="AJ38" i="4"/>
  <c r="AF38" i="4"/>
  <c r="AE38" i="4"/>
  <c r="AD38" i="4"/>
  <c r="AC38" i="4"/>
  <c r="AA38" i="4"/>
  <c r="Z38" i="4"/>
  <c r="Y38" i="4"/>
  <c r="X38" i="4"/>
  <c r="W38" i="4"/>
  <c r="V38" i="4"/>
  <c r="U38" i="4"/>
  <c r="T38" i="4"/>
  <c r="S38" i="4"/>
  <c r="R38" i="4"/>
  <c r="AS37" i="4"/>
  <c r="AQ37" i="4"/>
  <c r="AO37" i="4"/>
  <c r="AK37" i="4"/>
  <c r="AJ37" i="4"/>
  <c r="AF37" i="4"/>
  <c r="AE37" i="4"/>
  <c r="AD37" i="4"/>
  <c r="AC37" i="4"/>
  <c r="AA37" i="4"/>
  <c r="Z37" i="4"/>
  <c r="Y37" i="4"/>
  <c r="X37" i="4"/>
  <c r="W37" i="4"/>
  <c r="V37" i="4"/>
  <c r="U37" i="4"/>
  <c r="T37" i="4"/>
  <c r="S37" i="4"/>
  <c r="R37" i="4"/>
  <c r="AS36" i="4"/>
  <c r="AQ36" i="4"/>
  <c r="AO36" i="4"/>
  <c r="AK36" i="4"/>
  <c r="AJ36" i="4"/>
  <c r="AF36" i="4"/>
  <c r="AE36" i="4"/>
  <c r="AD36" i="4"/>
  <c r="AC36" i="4"/>
  <c r="AA36" i="4"/>
  <c r="Z36" i="4"/>
  <c r="Y36" i="4"/>
  <c r="X36" i="4"/>
  <c r="W36" i="4"/>
  <c r="V36" i="4"/>
  <c r="U36" i="4"/>
  <c r="T36" i="4"/>
  <c r="S36" i="4"/>
  <c r="R36" i="4"/>
  <c r="AS35" i="4"/>
  <c r="AQ35" i="4"/>
  <c r="AO35" i="4"/>
  <c r="AK35" i="4"/>
  <c r="AJ35" i="4"/>
  <c r="AF35" i="4"/>
  <c r="AE35" i="4"/>
  <c r="AD35" i="4"/>
  <c r="AC35" i="4"/>
  <c r="AA35" i="4"/>
  <c r="Z35" i="4"/>
  <c r="Y35" i="4"/>
  <c r="X35" i="4"/>
  <c r="W35" i="4"/>
  <c r="V35" i="4"/>
  <c r="U35" i="4"/>
  <c r="T35" i="4"/>
  <c r="S35" i="4"/>
  <c r="R35" i="4"/>
  <c r="AS34" i="4"/>
  <c r="AQ34" i="4"/>
  <c r="AO34" i="4"/>
  <c r="AK34" i="4"/>
  <c r="AJ34" i="4"/>
  <c r="AF34" i="4"/>
  <c r="AE34" i="4"/>
  <c r="AD34" i="4"/>
  <c r="AC34" i="4"/>
  <c r="AA34" i="4"/>
  <c r="Z34" i="4"/>
  <c r="Y34" i="4"/>
  <c r="X34" i="4"/>
  <c r="W34" i="4"/>
  <c r="V34" i="4"/>
  <c r="U34" i="4"/>
  <c r="T34" i="4"/>
  <c r="S34" i="4"/>
  <c r="R34" i="4"/>
  <c r="AS33" i="4"/>
  <c r="AQ33" i="4"/>
  <c r="AO33" i="4"/>
  <c r="AK33" i="4"/>
  <c r="AJ33" i="4"/>
  <c r="AF33" i="4"/>
  <c r="AE33" i="4"/>
  <c r="AD33" i="4"/>
  <c r="AC33" i="4"/>
  <c r="AA33" i="4"/>
  <c r="Z33" i="4"/>
  <c r="Y33" i="4"/>
  <c r="X33" i="4"/>
  <c r="W33" i="4"/>
  <c r="V33" i="4"/>
  <c r="U33" i="4"/>
  <c r="T33" i="4"/>
  <c r="S33" i="4"/>
  <c r="R33" i="4"/>
  <c r="AS32" i="4"/>
  <c r="AQ32" i="4"/>
  <c r="AO32" i="4"/>
  <c r="AK32" i="4"/>
  <c r="AJ32" i="4"/>
  <c r="AF32" i="4"/>
  <c r="AE32" i="4"/>
  <c r="AD32" i="4"/>
  <c r="AC32" i="4"/>
  <c r="AA32" i="4"/>
  <c r="Z32" i="4"/>
  <c r="Y32" i="4"/>
  <c r="X32" i="4"/>
  <c r="W32" i="4"/>
  <c r="V32" i="4"/>
  <c r="U32" i="4"/>
  <c r="T32" i="4"/>
  <c r="S32" i="4"/>
  <c r="R32" i="4"/>
  <c r="AS31" i="4"/>
  <c r="AQ31" i="4"/>
  <c r="AO31" i="4"/>
  <c r="AK31" i="4"/>
  <c r="AJ31" i="4"/>
  <c r="AF31" i="4"/>
  <c r="AE31" i="4"/>
  <c r="AD31" i="4"/>
  <c r="AC31" i="4"/>
  <c r="AA31" i="4"/>
  <c r="Z31" i="4"/>
  <c r="Y31" i="4"/>
  <c r="X31" i="4"/>
  <c r="W31" i="4"/>
  <c r="V31" i="4"/>
  <c r="U31" i="4"/>
  <c r="T31" i="4"/>
  <c r="S31" i="4"/>
  <c r="R31" i="4"/>
  <c r="AS30" i="4"/>
  <c r="AQ30" i="4"/>
  <c r="AO30" i="4"/>
  <c r="AK30" i="4"/>
  <c r="AJ30" i="4"/>
  <c r="AF30" i="4"/>
  <c r="AE30" i="4"/>
  <c r="AD30" i="4"/>
  <c r="AC30" i="4"/>
  <c r="AA30" i="4"/>
  <c r="Z30" i="4"/>
  <c r="Y30" i="4"/>
  <c r="X30" i="4"/>
  <c r="W30" i="4"/>
  <c r="V30" i="4"/>
  <c r="U30" i="4"/>
  <c r="T30" i="4"/>
  <c r="S30" i="4"/>
  <c r="R30" i="4"/>
  <c r="AS29" i="4"/>
  <c r="AQ29" i="4"/>
  <c r="AO29" i="4"/>
  <c r="AK29" i="4"/>
  <c r="AJ29" i="4"/>
  <c r="AF29" i="4"/>
  <c r="AE29" i="4"/>
  <c r="AD29" i="4"/>
  <c r="AC29" i="4"/>
  <c r="AA29" i="4"/>
  <c r="Z29" i="4"/>
  <c r="Y29" i="4"/>
  <c r="X29" i="4"/>
  <c r="W29" i="4"/>
  <c r="V29" i="4"/>
  <c r="U29" i="4"/>
  <c r="T29" i="4"/>
  <c r="S29" i="4"/>
  <c r="R29" i="4"/>
  <c r="AS28" i="4"/>
  <c r="AQ28" i="4"/>
  <c r="AO28" i="4"/>
  <c r="AK28" i="4"/>
  <c r="AJ28" i="4"/>
  <c r="AF28" i="4"/>
  <c r="AE28" i="4"/>
  <c r="AD28" i="4"/>
  <c r="AC28" i="4"/>
  <c r="AA28" i="4"/>
  <c r="Z28" i="4"/>
  <c r="Y28" i="4"/>
  <c r="X28" i="4"/>
  <c r="W28" i="4"/>
  <c r="V28" i="4"/>
  <c r="U28" i="4"/>
  <c r="T28" i="4"/>
  <c r="S28" i="4"/>
  <c r="R28" i="4"/>
  <c r="AS27" i="4"/>
  <c r="AQ27" i="4"/>
  <c r="AO27" i="4"/>
  <c r="AK27" i="4"/>
  <c r="AJ27" i="4"/>
  <c r="AF27" i="4"/>
  <c r="AE27" i="4"/>
  <c r="AD27" i="4"/>
  <c r="AC27" i="4"/>
  <c r="AA27" i="4"/>
  <c r="Z27" i="4"/>
  <c r="Y27" i="4"/>
  <c r="X27" i="4"/>
  <c r="W27" i="4"/>
  <c r="V27" i="4"/>
  <c r="U27" i="4"/>
  <c r="T27" i="4"/>
  <c r="S27" i="4"/>
  <c r="R27" i="4"/>
  <c r="AS26" i="4"/>
  <c r="AQ26" i="4"/>
  <c r="AO26" i="4"/>
  <c r="AK26" i="4"/>
  <c r="AJ26" i="4"/>
  <c r="AF26" i="4"/>
  <c r="AE26" i="4"/>
  <c r="AD26" i="4"/>
  <c r="AC26" i="4"/>
  <c r="AA26" i="4"/>
  <c r="Z26" i="4"/>
  <c r="Y26" i="4"/>
  <c r="X26" i="4"/>
  <c r="W26" i="4"/>
  <c r="V26" i="4"/>
  <c r="U26" i="4"/>
  <c r="T26" i="4"/>
  <c r="S26" i="4"/>
  <c r="R26" i="4"/>
  <c r="AS25" i="4"/>
  <c r="AQ25" i="4"/>
  <c r="AO25" i="4"/>
  <c r="AK25" i="4"/>
  <c r="AJ25" i="4"/>
  <c r="AF25" i="4"/>
  <c r="AE25" i="4"/>
  <c r="AD25" i="4"/>
  <c r="AC25" i="4"/>
  <c r="AA25" i="4"/>
  <c r="Z25" i="4"/>
  <c r="Y25" i="4"/>
  <c r="X25" i="4"/>
  <c r="W25" i="4"/>
  <c r="V25" i="4"/>
  <c r="U25" i="4"/>
  <c r="T25" i="4"/>
  <c r="S25" i="4"/>
  <c r="R25" i="4"/>
  <c r="AS24" i="4"/>
  <c r="AQ24" i="4"/>
  <c r="AO24" i="4"/>
  <c r="AK24" i="4"/>
  <c r="AJ24" i="4"/>
  <c r="AF24" i="4"/>
  <c r="AE24" i="4"/>
  <c r="AD24" i="4"/>
  <c r="AC24" i="4"/>
  <c r="AA24" i="4"/>
  <c r="Z24" i="4"/>
  <c r="Y24" i="4"/>
  <c r="X24" i="4"/>
  <c r="W24" i="4"/>
  <c r="V24" i="4"/>
  <c r="U24" i="4"/>
  <c r="T24" i="4"/>
  <c r="S24" i="4"/>
  <c r="R24" i="4"/>
  <c r="AS23" i="4"/>
  <c r="AQ23" i="4"/>
  <c r="AO23" i="4"/>
  <c r="AK23" i="4"/>
  <c r="AJ23" i="4"/>
  <c r="AF23" i="4"/>
  <c r="AE23" i="4"/>
  <c r="AD23" i="4"/>
  <c r="AC23" i="4"/>
  <c r="AA23" i="4"/>
  <c r="Z23" i="4"/>
  <c r="Y23" i="4"/>
  <c r="X23" i="4"/>
  <c r="W23" i="4"/>
  <c r="V23" i="4"/>
  <c r="U23" i="4"/>
  <c r="T23" i="4"/>
  <c r="S23" i="4"/>
  <c r="R23" i="4"/>
  <c r="AS22" i="4"/>
  <c r="AQ22" i="4"/>
  <c r="AO22" i="4"/>
  <c r="AK22" i="4"/>
  <c r="AJ22" i="4"/>
  <c r="AF22" i="4"/>
  <c r="AE22" i="4"/>
  <c r="AD22" i="4"/>
  <c r="AC22" i="4"/>
  <c r="AA22" i="4"/>
  <c r="Z22" i="4"/>
  <c r="Y22" i="4"/>
  <c r="X22" i="4"/>
  <c r="W22" i="4"/>
  <c r="V22" i="4"/>
  <c r="U22" i="4"/>
  <c r="T22" i="4"/>
  <c r="S22" i="4"/>
  <c r="R22" i="4"/>
  <c r="AS21" i="4"/>
  <c r="AQ21" i="4"/>
  <c r="AO21" i="4"/>
  <c r="AK21" i="4"/>
  <c r="AJ21" i="4"/>
  <c r="AF21" i="4"/>
  <c r="AE21" i="4"/>
  <c r="AD21" i="4"/>
  <c r="AC21" i="4"/>
  <c r="AA21" i="4"/>
  <c r="Z21" i="4"/>
  <c r="Y21" i="4"/>
  <c r="X21" i="4"/>
  <c r="W21" i="4"/>
  <c r="V21" i="4"/>
  <c r="U21" i="4"/>
  <c r="T21" i="4"/>
  <c r="S21" i="4"/>
  <c r="R21" i="4"/>
  <c r="AS20" i="4"/>
  <c r="AQ20" i="4"/>
  <c r="AO20" i="4"/>
  <c r="AK20" i="4"/>
  <c r="AJ20" i="4"/>
  <c r="AF20" i="4"/>
  <c r="AE20" i="4"/>
  <c r="AD20" i="4"/>
  <c r="AC20" i="4"/>
  <c r="AA20" i="4"/>
  <c r="Z20" i="4"/>
  <c r="Y20" i="4"/>
  <c r="X20" i="4"/>
  <c r="W20" i="4"/>
  <c r="V20" i="4"/>
  <c r="U20" i="4"/>
  <c r="T20" i="4"/>
  <c r="S20" i="4"/>
  <c r="R20" i="4"/>
  <c r="AS19" i="4"/>
  <c r="AQ19" i="4"/>
  <c r="AO19" i="4"/>
  <c r="AK19" i="4"/>
  <c r="AJ19" i="4"/>
  <c r="AF19" i="4"/>
  <c r="AE19" i="4"/>
  <c r="AD19" i="4"/>
  <c r="AC19" i="4"/>
  <c r="AA19" i="4"/>
  <c r="Z19" i="4"/>
  <c r="Y19" i="4"/>
  <c r="X19" i="4"/>
  <c r="W19" i="4"/>
  <c r="V19" i="4"/>
  <c r="U19" i="4"/>
  <c r="T19" i="4"/>
  <c r="S19" i="4"/>
  <c r="R19" i="4"/>
  <c r="AS18" i="4"/>
  <c r="AQ18" i="4"/>
  <c r="AO18" i="4"/>
  <c r="AK18" i="4"/>
  <c r="AJ18" i="4"/>
  <c r="AF18" i="4"/>
  <c r="AE18" i="4"/>
  <c r="AD18" i="4"/>
  <c r="AC18" i="4"/>
  <c r="AA18" i="4"/>
  <c r="Z18" i="4"/>
  <c r="Y18" i="4"/>
  <c r="X18" i="4"/>
  <c r="W18" i="4"/>
  <c r="V18" i="4"/>
  <c r="U18" i="4"/>
  <c r="T18" i="4"/>
  <c r="S18" i="4"/>
  <c r="R18" i="4"/>
  <c r="AS17" i="4"/>
  <c r="AQ17" i="4"/>
  <c r="AO17" i="4"/>
  <c r="AK17" i="4"/>
  <c r="AJ17" i="4"/>
  <c r="AF17" i="4"/>
  <c r="AE17" i="4"/>
  <c r="AD17" i="4"/>
  <c r="AC17" i="4"/>
  <c r="AA17" i="4"/>
  <c r="Z17" i="4"/>
  <c r="Y17" i="4"/>
  <c r="X17" i="4"/>
  <c r="W17" i="4"/>
  <c r="V17" i="4"/>
  <c r="U17" i="4"/>
  <c r="T17" i="4"/>
  <c r="S17" i="4"/>
  <c r="R17" i="4"/>
  <c r="AS16" i="4"/>
  <c r="AQ16" i="4"/>
  <c r="AO16" i="4"/>
  <c r="AK16" i="4"/>
  <c r="AJ16" i="4"/>
  <c r="AF16" i="4"/>
  <c r="AE16" i="4"/>
  <c r="AD16" i="4"/>
  <c r="AC16" i="4"/>
  <c r="AA16" i="4"/>
  <c r="Z16" i="4"/>
  <c r="Y16" i="4"/>
  <c r="X16" i="4"/>
  <c r="W16" i="4"/>
  <c r="V16" i="4"/>
  <c r="U16" i="4"/>
  <c r="T16" i="4"/>
  <c r="S16" i="4"/>
  <c r="R16" i="4"/>
  <c r="AS15" i="4"/>
  <c r="AQ15" i="4"/>
  <c r="AO15" i="4"/>
  <c r="AK15" i="4"/>
  <c r="AJ15" i="4"/>
  <c r="AF15" i="4"/>
  <c r="AE15" i="4"/>
  <c r="AD15" i="4"/>
  <c r="AC15" i="4"/>
  <c r="AA15" i="4"/>
  <c r="Z15" i="4"/>
  <c r="Y15" i="4"/>
  <c r="X15" i="4"/>
  <c r="W15" i="4"/>
  <c r="V15" i="4"/>
  <c r="U15" i="4"/>
  <c r="T15" i="4"/>
  <c r="S15" i="4"/>
  <c r="R15" i="4"/>
  <c r="O15" i="4"/>
  <c r="AS14" i="4"/>
  <c r="AQ14" i="4"/>
  <c r="AO14" i="4"/>
  <c r="AK14" i="4"/>
  <c r="AJ14" i="4"/>
  <c r="AF14" i="4"/>
  <c r="AE14" i="4"/>
  <c r="AD14" i="4"/>
  <c r="AC14" i="4"/>
  <c r="AA14" i="4"/>
  <c r="Z14" i="4"/>
  <c r="Y14" i="4"/>
  <c r="X14" i="4"/>
  <c r="W14" i="4"/>
  <c r="V14" i="4"/>
  <c r="U14" i="4"/>
  <c r="T14" i="4"/>
  <c r="S14" i="4"/>
  <c r="R14" i="4"/>
  <c r="AS13" i="4"/>
  <c r="AQ13" i="4"/>
  <c r="AO13" i="4"/>
  <c r="AK13" i="4"/>
  <c r="AJ13" i="4"/>
  <c r="AF13" i="4"/>
  <c r="AE13" i="4"/>
  <c r="AD13" i="4"/>
  <c r="AC13" i="4"/>
  <c r="AA13" i="4"/>
  <c r="Z13" i="4"/>
  <c r="Y13" i="4"/>
  <c r="X13" i="4"/>
  <c r="W13" i="4"/>
  <c r="V13" i="4"/>
  <c r="U13" i="4"/>
  <c r="T13" i="4"/>
  <c r="S13" i="4"/>
  <c r="R13" i="4"/>
  <c r="AS12" i="4"/>
  <c r="AQ12" i="4"/>
  <c r="AO12" i="4"/>
  <c r="AK12" i="4"/>
  <c r="AJ12" i="4"/>
  <c r="AF12" i="4"/>
  <c r="AE12" i="4"/>
  <c r="AD12" i="4"/>
  <c r="AC12" i="4"/>
  <c r="AA12" i="4"/>
  <c r="Z12" i="4"/>
  <c r="Y12" i="4"/>
  <c r="X12" i="4"/>
  <c r="W12" i="4"/>
  <c r="V12" i="4"/>
  <c r="U12" i="4"/>
  <c r="T12" i="4"/>
  <c r="S12" i="4"/>
  <c r="R12" i="4"/>
  <c r="O12" i="4"/>
  <c r="AS11" i="4"/>
  <c r="AQ11" i="4"/>
  <c r="AO11" i="4"/>
  <c r="AK11" i="4"/>
  <c r="AJ11" i="4"/>
  <c r="AF11" i="4"/>
  <c r="AE11" i="4"/>
  <c r="AD11" i="4"/>
  <c r="AC11" i="4"/>
  <c r="AA11" i="4"/>
  <c r="Z11" i="4"/>
  <c r="Y11" i="4"/>
  <c r="X11" i="4"/>
  <c r="W11" i="4"/>
  <c r="V11" i="4"/>
  <c r="U11" i="4"/>
  <c r="T11" i="4"/>
  <c r="S11" i="4"/>
  <c r="R11" i="4"/>
  <c r="AS10" i="4"/>
  <c r="AQ10" i="4"/>
  <c r="AO10" i="4"/>
  <c r="AK10" i="4"/>
  <c r="AJ10" i="4"/>
  <c r="AF10" i="4"/>
  <c r="AE10" i="4"/>
  <c r="AD10" i="4"/>
  <c r="AC10" i="4"/>
  <c r="AA10" i="4"/>
  <c r="Z10" i="4"/>
  <c r="Y10" i="4"/>
  <c r="X10" i="4"/>
  <c r="W10" i="4"/>
  <c r="V10" i="4"/>
  <c r="U10" i="4"/>
  <c r="T10" i="4"/>
  <c r="S10" i="4"/>
  <c r="R10" i="4"/>
  <c r="AS9" i="4"/>
  <c r="AQ9" i="4"/>
  <c r="AO9" i="4"/>
  <c r="AK9" i="4"/>
  <c r="AJ9" i="4"/>
  <c r="AF9" i="4"/>
  <c r="AE9" i="4"/>
  <c r="AD9" i="4"/>
  <c r="AC9" i="4"/>
  <c r="AA9" i="4"/>
  <c r="Z9" i="4"/>
  <c r="Y9" i="4"/>
  <c r="X9" i="4"/>
  <c r="W9" i="4"/>
  <c r="V9" i="4"/>
  <c r="U9" i="4"/>
  <c r="T9" i="4"/>
  <c r="S9" i="4"/>
  <c r="R9" i="4"/>
  <c r="O9" i="4"/>
  <c r="AS8" i="4"/>
  <c r="AQ8" i="4"/>
  <c r="AO8" i="4"/>
  <c r="AK8" i="4"/>
  <c r="AJ8" i="4"/>
  <c r="AF8" i="4"/>
  <c r="AE8" i="4"/>
  <c r="AD8" i="4"/>
  <c r="AC8" i="4"/>
  <c r="AA8" i="4"/>
  <c r="Z8" i="4"/>
  <c r="Y8" i="4"/>
  <c r="X8" i="4"/>
  <c r="W8" i="4"/>
  <c r="V8" i="4"/>
  <c r="U8" i="4"/>
  <c r="T8" i="4"/>
  <c r="S8" i="4"/>
  <c r="R8" i="4"/>
  <c r="M8" i="4"/>
  <c r="AS7" i="4"/>
  <c r="AQ7" i="4"/>
  <c r="AO7" i="4"/>
  <c r="AK7" i="4"/>
  <c r="AJ7" i="4"/>
  <c r="AF7" i="4"/>
  <c r="AE7" i="4"/>
  <c r="AD7" i="4"/>
  <c r="AC7" i="4"/>
  <c r="AA7" i="4"/>
  <c r="Z7" i="4"/>
  <c r="Y7" i="4"/>
  <c r="X7" i="4"/>
  <c r="W7" i="4"/>
  <c r="V7" i="4"/>
  <c r="U7" i="4"/>
  <c r="T7" i="4"/>
  <c r="S7" i="4"/>
  <c r="R7" i="4"/>
  <c r="B191" i="2"/>
  <c r="B190" i="2"/>
  <c r="B194" i="2" s="1"/>
  <c r="B189" i="2"/>
  <c r="B187" i="2"/>
  <c r="B186" i="2"/>
  <c r="B185" i="2"/>
  <c r="B184" i="2"/>
  <c r="AP157" i="4" s="1"/>
  <c r="B183" i="2"/>
  <c r="AG11" i="4" s="1"/>
  <c r="B179" i="2"/>
  <c r="AM13" i="4" s="1"/>
  <c r="B178" i="2"/>
  <c r="AL71" i="4" s="1"/>
  <c r="B172" i="2"/>
  <c r="B56" i="5" s="1"/>
  <c r="B170" i="2"/>
  <c r="B61" i="5" s="1"/>
  <c r="AJ121" i="5" s="1"/>
  <c r="B168" i="2"/>
  <c r="B54" i="5" s="1"/>
  <c r="B163" i="2"/>
  <c r="B153" i="2"/>
  <c r="O8" i="5" s="1"/>
  <c r="B152" i="2"/>
  <c r="B146" i="2"/>
  <c r="B145" i="2"/>
  <c r="B143" i="2"/>
  <c r="B142" i="2"/>
  <c r="B140" i="2"/>
  <c r="B139" i="2"/>
  <c r="B138" i="2"/>
  <c r="B137" i="2"/>
  <c r="B129" i="2"/>
  <c r="B124" i="2"/>
  <c r="B53" i="5" s="1"/>
  <c r="B122" i="2"/>
  <c r="B123" i="2" s="1"/>
  <c r="H60" i="1" s="1"/>
  <c r="B119" i="2"/>
  <c r="B112" i="2"/>
  <c r="B110" i="2"/>
  <c r="B109" i="2"/>
  <c r="B108" i="2"/>
  <c r="B107" i="2"/>
  <c r="B106" i="2"/>
  <c r="B113" i="2" s="1"/>
  <c r="B103" i="2"/>
  <c r="B102" i="2"/>
  <c r="B101" i="2"/>
  <c r="H44" i="1" s="1"/>
  <c r="B100" i="2"/>
  <c r="B97" i="2"/>
  <c r="B96" i="2"/>
  <c r="B95" i="2"/>
  <c r="B131" i="2" s="1"/>
  <c r="B94" i="2"/>
  <c r="B92" i="2"/>
  <c r="B93" i="2" s="1"/>
  <c r="H38" i="1" s="1"/>
  <c r="E90" i="2"/>
  <c r="B85" i="2"/>
  <c r="B84" i="2"/>
  <c r="B83" i="2"/>
  <c r="K82" i="2"/>
  <c r="B82" i="2"/>
  <c r="K81" i="2"/>
  <c r="B81" i="2"/>
  <c r="B79" i="2"/>
  <c r="B78" i="2"/>
  <c r="B76" i="2"/>
  <c r="B75" i="2"/>
  <c r="B74" i="2"/>
  <c r="B72" i="2"/>
  <c r="B71" i="2"/>
  <c r="B68" i="2"/>
  <c r="B67" i="2"/>
  <c r="M66" i="2"/>
  <c r="L66" i="2"/>
  <c r="K66" i="2"/>
  <c r="J66" i="2"/>
  <c r="J65" i="2"/>
  <c r="B63" i="2"/>
  <c r="B62" i="2"/>
  <c r="B59" i="2"/>
  <c r="B58" i="2"/>
  <c r="B56" i="2"/>
  <c r="B55" i="2"/>
  <c r="B53" i="2"/>
  <c r="B52" i="2"/>
  <c r="B49" i="2"/>
  <c r="B48" i="2"/>
  <c r="B46" i="2"/>
  <c r="B45" i="2"/>
  <c r="B44" i="2"/>
  <c r="B40" i="2"/>
  <c r="B39" i="2"/>
  <c r="B38" i="2"/>
  <c r="B37" i="2"/>
  <c r="B35" i="2"/>
  <c r="B32" i="2"/>
  <c r="B31" i="2"/>
  <c r="B30" i="2"/>
  <c r="B28" i="2"/>
  <c r="B27" i="2"/>
  <c r="B26" i="2"/>
  <c r="B24" i="2"/>
  <c r="B23" i="2"/>
  <c r="B22" i="2"/>
  <c r="K20" i="2"/>
  <c r="B20" i="2"/>
  <c r="B19" i="2"/>
  <c r="B17" i="2"/>
  <c r="B16" i="2"/>
  <c r="B15" i="2"/>
  <c r="B14" i="2"/>
  <c r="B13" i="2"/>
  <c r="B11" i="2"/>
  <c r="B10" i="2"/>
  <c r="B9" i="2"/>
  <c r="K8" i="2"/>
  <c r="B8" i="2"/>
  <c r="B7" i="2"/>
  <c r="H84" i="1"/>
  <c r="H64" i="1"/>
  <c r="H56" i="1"/>
  <c r="Q50" i="1"/>
  <c r="H46" i="1"/>
  <c r="H39" i="1"/>
  <c r="H34" i="1"/>
  <c r="H33" i="1"/>
  <c r="H30" i="1"/>
  <c r="H29" i="1"/>
  <c r="H28" i="1"/>
  <c r="H24" i="1"/>
  <c r="H21" i="1"/>
  <c r="H17" i="1"/>
  <c r="H16" i="1"/>
  <c r="H15" i="1"/>
  <c r="H13" i="1"/>
  <c r="Z8" i="5" l="1"/>
  <c r="W8" i="5"/>
  <c r="O7" i="5"/>
  <c r="AJ7" i="5" s="1"/>
  <c r="Q7" i="5"/>
  <c r="R7" i="5" s="1"/>
  <c r="B159" i="2"/>
  <c r="B55" i="5"/>
  <c r="B60" i="5"/>
  <c r="AL121" i="5"/>
  <c r="AK121" i="5"/>
  <c r="AJ73" i="5"/>
  <c r="AJ97" i="5"/>
  <c r="AJ23" i="5"/>
  <c r="AJ39" i="5"/>
  <c r="AJ103" i="5"/>
  <c r="AJ171" i="5"/>
  <c r="AJ81" i="5"/>
  <c r="AJ32" i="5"/>
  <c r="AJ61" i="5"/>
  <c r="AJ33" i="5"/>
  <c r="AJ93" i="5"/>
  <c r="AJ134" i="5"/>
  <c r="AJ183" i="5"/>
  <c r="AJ19" i="5"/>
  <c r="AJ127" i="5"/>
  <c r="AJ135" i="5"/>
  <c r="AJ9" i="5"/>
  <c r="AJ120" i="5"/>
  <c r="AJ128" i="5"/>
  <c r="AJ85" i="5"/>
  <c r="AJ51" i="5"/>
  <c r="AJ550" i="5"/>
  <c r="AJ538" i="5"/>
  <c r="AJ526" i="5"/>
  <c r="AJ514" i="5"/>
  <c r="AJ502" i="5"/>
  <c r="AJ490" i="5"/>
  <c r="AJ478" i="5"/>
  <c r="AJ466" i="5"/>
  <c r="AJ454" i="5"/>
  <c r="AJ442" i="5"/>
  <c r="AJ430" i="5"/>
  <c r="AJ418" i="5"/>
  <c r="AJ406" i="5"/>
  <c r="AJ394" i="5"/>
  <c r="AJ557" i="5"/>
  <c r="AJ545" i="5"/>
  <c r="AJ533" i="5"/>
  <c r="AJ521" i="5"/>
  <c r="AJ509" i="5"/>
  <c r="AJ497" i="5"/>
  <c r="AJ485" i="5"/>
  <c r="AJ473" i="5"/>
  <c r="AJ461" i="5"/>
  <c r="AJ449" i="5"/>
  <c r="AJ437" i="5"/>
  <c r="AJ425" i="5"/>
  <c r="AJ413" i="5"/>
  <c r="AJ401" i="5"/>
  <c r="AJ552" i="5"/>
  <c r="AJ540" i="5"/>
  <c r="AJ528" i="5"/>
  <c r="AJ516" i="5"/>
  <c r="AJ504" i="5"/>
  <c r="AJ492" i="5"/>
  <c r="AJ480" i="5"/>
  <c r="AJ468" i="5"/>
  <c r="AJ456" i="5"/>
  <c r="AJ444" i="5"/>
  <c r="AJ432" i="5"/>
  <c r="AJ420" i="5"/>
  <c r="AJ408" i="5"/>
  <c r="AJ396" i="5"/>
  <c r="AJ559" i="5"/>
  <c r="AJ547" i="5"/>
  <c r="AJ535" i="5"/>
  <c r="AJ523" i="5"/>
  <c r="AJ511" i="5"/>
  <c r="AJ499" i="5"/>
  <c r="AJ487" i="5"/>
  <c r="AJ475" i="5"/>
  <c r="AJ463" i="5"/>
  <c r="AJ451" i="5"/>
  <c r="AJ439" i="5"/>
  <c r="AJ554" i="5"/>
  <c r="AJ542" i="5"/>
  <c r="AJ530" i="5"/>
  <c r="AJ518" i="5"/>
  <c r="AJ506" i="5"/>
  <c r="AJ494" i="5"/>
  <c r="AJ482" i="5"/>
  <c r="AJ470" i="5"/>
  <c r="AJ458" i="5"/>
  <c r="AJ446" i="5"/>
  <c r="AJ434" i="5"/>
  <c r="AJ422" i="5"/>
  <c r="AJ410" i="5"/>
  <c r="AJ398" i="5"/>
  <c r="AJ549" i="5"/>
  <c r="AJ537" i="5"/>
  <c r="AJ525" i="5"/>
  <c r="AJ513" i="5"/>
  <c r="AJ501" i="5"/>
  <c r="AJ489" i="5"/>
  <c r="AJ477" i="5"/>
  <c r="AJ465" i="5"/>
  <c r="AJ453" i="5"/>
  <c r="AJ441" i="5"/>
  <c r="AJ429" i="5"/>
  <c r="AJ417" i="5"/>
  <c r="AJ556" i="5"/>
  <c r="AJ544" i="5"/>
  <c r="AJ532" i="5"/>
  <c r="AJ520" i="5"/>
  <c r="AJ508" i="5"/>
  <c r="AJ496" i="5"/>
  <c r="AJ484" i="5"/>
  <c r="AJ472" i="5"/>
  <c r="AJ460" i="5"/>
  <c r="AJ448" i="5"/>
  <c r="AJ436" i="5"/>
  <c r="AJ424" i="5"/>
  <c r="AJ412" i="5"/>
  <c r="AJ400" i="5"/>
  <c r="AJ551" i="5"/>
  <c r="AJ539" i="5"/>
  <c r="AJ527" i="5"/>
  <c r="AJ515" i="5"/>
  <c r="AJ503" i="5"/>
  <c r="AJ491" i="5"/>
  <c r="AJ479" i="5"/>
  <c r="AJ467" i="5"/>
  <c r="AJ455" i="5"/>
  <c r="AJ443" i="5"/>
  <c r="AJ431" i="5"/>
  <c r="AJ419" i="5"/>
  <c r="AJ407" i="5"/>
  <c r="AJ395" i="5"/>
  <c r="AJ558" i="5"/>
  <c r="AJ546" i="5"/>
  <c r="AJ534" i="5"/>
  <c r="AJ522" i="5"/>
  <c r="AJ510" i="5"/>
  <c r="AJ498" i="5"/>
  <c r="AJ486" i="5"/>
  <c r="AJ474" i="5"/>
  <c r="AJ462" i="5"/>
  <c r="AJ450" i="5"/>
  <c r="AJ438" i="5"/>
  <c r="AJ426" i="5"/>
  <c r="AJ414" i="5"/>
  <c r="AJ402" i="5"/>
  <c r="AJ553" i="5"/>
  <c r="AJ541" i="5"/>
  <c r="AJ529" i="5"/>
  <c r="AJ517" i="5"/>
  <c r="AJ505" i="5"/>
  <c r="AJ493" i="5"/>
  <c r="AJ481" i="5"/>
  <c r="AJ469" i="5"/>
  <c r="AJ457" i="5"/>
  <c r="AJ445" i="5"/>
  <c r="AJ433" i="5"/>
  <c r="AJ421" i="5"/>
  <c r="AJ409" i="5"/>
  <c r="AJ397" i="5"/>
  <c r="AJ560" i="5"/>
  <c r="AJ548" i="5"/>
  <c r="AJ536" i="5"/>
  <c r="AJ524" i="5"/>
  <c r="AJ512" i="5"/>
  <c r="AJ500" i="5"/>
  <c r="AJ488" i="5"/>
  <c r="AJ476" i="5"/>
  <c r="AJ464" i="5"/>
  <c r="AJ452" i="5"/>
  <c r="AJ440" i="5"/>
  <c r="AJ428" i="5"/>
  <c r="AJ416" i="5"/>
  <c r="AJ404" i="5"/>
  <c r="AJ392" i="5"/>
  <c r="AJ555" i="5"/>
  <c r="AJ543" i="5"/>
  <c r="AJ531" i="5"/>
  <c r="AJ519" i="5"/>
  <c r="AJ507" i="5"/>
  <c r="AJ495" i="5"/>
  <c r="AJ483" i="5"/>
  <c r="AJ471" i="5"/>
  <c r="AJ459" i="5"/>
  <c r="AJ447" i="5"/>
  <c r="AJ435" i="5"/>
  <c r="AJ423" i="5"/>
  <c r="AJ411" i="5"/>
  <c r="AJ399" i="5"/>
  <c r="AJ380" i="5"/>
  <c r="AJ368" i="5"/>
  <c r="AJ356" i="5"/>
  <c r="AJ344" i="5"/>
  <c r="AJ332" i="5"/>
  <c r="AJ320" i="5"/>
  <c r="AJ308" i="5"/>
  <c r="AJ296" i="5"/>
  <c r="AJ284" i="5"/>
  <c r="AJ272" i="5"/>
  <c r="AJ387" i="5"/>
  <c r="AJ375" i="5"/>
  <c r="AJ363" i="5"/>
  <c r="AJ351" i="5"/>
  <c r="AJ339" i="5"/>
  <c r="AJ327" i="5"/>
  <c r="AJ315" i="5"/>
  <c r="AJ303" i="5"/>
  <c r="AJ291" i="5"/>
  <c r="AJ279" i="5"/>
  <c r="AJ267" i="5"/>
  <c r="AJ382" i="5"/>
  <c r="AJ370" i="5"/>
  <c r="AJ358" i="5"/>
  <c r="AJ346" i="5"/>
  <c r="AJ334" i="5"/>
  <c r="AJ322" i="5"/>
  <c r="AJ310" i="5"/>
  <c r="AJ298" i="5"/>
  <c r="AJ286" i="5"/>
  <c r="AJ274" i="5"/>
  <c r="AJ262" i="5"/>
  <c r="AJ415" i="5"/>
  <c r="AJ405" i="5"/>
  <c r="AJ403" i="5"/>
  <c r="AJ389" i="5"/>
  <c r="AJ377" i="5"/>
  <c r="AJ365" i="5"/>
  <c r="AJ353" i="5"/>
  <c r="AJ341" i="5"/>
  <c r="AJ329" i="5"/>
  <c r="AJ317" i="5"/>
  <c r="AJ305" i="5"/>
  <c r="AJ293" i="5"/>
  <c r="AJ384" i="5"/>
  <c r="AJ372" i="5"/>
  <c r="AJ360" i="5"/>
  <c r="AJ348" i="5"/>
  <c r="AJ336" i="5"/>
  <c r="AJ324" i="5"/>
  <c r="AJ312" i="5"/>
  <c r="AJ300" i="5"/>
  <c r="AJ288" i="5"/>
  <c r="AJ276" i="5"/>
  <c r="AJ264" i="5"/>
  <c r="AJ391" i="5"/>
  <c r="AJ379" i="5"/>
  <c r="AJ367" i="5"/>
  <c r="AJ355" i="5"/>
  <c r="AJ343" i="5"/>
  <c r="AJ331" i="5"/>
  <c r="AJ319" i="5"/>
  <c r="AJ307" i="5"/>
  <c r="AJ295" i="5"/>
  <c r="AJ283" i="5"/>
  <c r="AJ271" i="5"/>
  <c r="AJ259" i="5"/>
  <c r="AJ386" i="5"/>
  <c r="AJ374" i="5"/>
  <c r="AJ362" i="5"/>
  <c r="AJ350" i="5"/>
  <c r="AJ338" i="5"/>
  <c r="AJ326" i="5"/>
  <c r="AJ314" i="5"/>
  <c r="AJ302" i="5"/>
  <c r="AJ290" i="5"/>
  <c r="AJ278" i="5"/>
  <c r="AJ266" i="5"/>
  <c r="AJ254" i="5"/>
  <c r="AJ242" i="5"/>
  <c r="AJ230" i="5"/>
  <c r="AJ381" i="5"/>
  <c r="AJ369" i="5"/>
  <c r="AJ357" i="5"/>
  <c r="AJ345" i="5"/>
  <c r="AJ333" i="5"/>
  <c r="AJ321" i="5"/>
  <c r="AJ309" i="5"/>
  <c r="AJ297" i="5"/>
  <c r="AJ285" i="5"/>
  <c r="AJ273" i="5"/>
  <c r="AJ261" i="5"/>
  <c r="AJ427" i="5"/>
  <c r="AJ388" i="5"/>
  <c r="AJ376" i="5"/>
  <c r="AJ364" i="5"/>
  <c r="AJ352" i="5"/>
  <c r="AJ340" i="5"/>
  <c r="AJ328" i="5"/>
  <c r="AJ316" i="5"/>
  <c r="AJ304" i="5"/>
  <c r="AJ292" i="5"/>
  <c r="AJ280" i="5"/>
  <c r="AJ268" i="5"/>
  <c r="AJ256" i="5"/>
  <c r="AJ244" i="5"/>
  <c r="AJ232" i="5"/>
  <c r="AJ383" i="5"/>
  <c r="AJ371" i="5"/>
  <c r="AJ359" i="5"/>
  <c r="AJ347" i="5"/>
  <c r="AJ335" i="5"/>
  <c r="AJ323" i="5"/>
  <c r="AJ311" i="5"/>
  <c r="AJ299" i="5"/>
  <c r="AJ287" i="5"/>
  <c r="AJ275" i="5"/>
  <c r="AJ263" i="5"/>
  <c r="AJ251" i="5"/>
  <c r="AJ239" i="5"/>
  <c r="AJ227" i="5"/>
  <c r="AJ393" i="5"/>
  <c r="AJ385" i="5"/>
  <c r="AJ373" i="5"/>
  <c r="AJ361" i="5"/>
  <c r="AJ349" i="5"/>
  <c r="AJ337" i="5"/>
  <c r="AJ325" i="5"/>
  <c r="AJ313" i="5"/>
  <c r="AJ301" i="5"/>
  <c r="AJ289" i="5"/>
  <c r="AJ277" i="5"/>
  <c r="AJ265" i="5"/>
  <c r="AJ253" i="5"/>
  <c r="AJ241" i="5"/>
  <c r="AJ229" i="5"/>
  <c r="AJ249" i="5"/>
  <c r="AJ237" i="5"/>
  <c r="AJ216" i="5"/>
  <c r="AJ204" i="5"/>
  <c r="AJ192" i="5"/>
  <c r="AJ180" i="5"/>
  <c r="AJ168" i="5"/>
  <c r="AJ156" i="5"/>
  <c r="AJ282" i="5"/>
  <c r="AJ270" i="5"/>
  <c r="AJ258" i="5"/>
  <c r="AJ245" i="5"/>
  <c r="AJ233" i="5"/>
  <c r="AJ223" i="5"/>
  <c r="AJ211" i="5"/>
  <c r="AJ199" i="5"/>
  <c r="AJ187" i="5"/>
  <c r="AJ175" i="5"/>
  <c r="AJ163" i="5"/>
  <c r="AJ281" i="5"/>
  <c r="AJ269" i="5"/>
  <c r="AJ248" i="5"/>
  <c r="AJ236" i="5"/>
  <c r="AJ218" i="5"/>
  <c r="AJ206" i="5"/>
  <c r="AJ194" i="5"/>
  <c r="AJ182" i="5"/>
  <c r="AJ170" i="5"/>
  <c r="AJ158" i="5"/>
  <c r="AJ146" i="5"/>
  <c r="AJ252" i="5"/>
  <c r="AJ240" i="5"/>
  <c r="AJ228" i="5"/>
  <c r="AJ225" i="5"/>
  <c r="AJ213" i="5"/>
  <c r="AJ201" i="5"/>
  <c r="AJ189" i="5"/>
  <c r="AJ177" i="5"/>
  <c r="AJ165" i="5"/>
  <c r="AJ257" i="5"/>
  <c r="AJ220" i="5"/>
  <c r="AJ208" i="5"/>
  <c r="AJ196" i="5"/>
  <c r="AJ184" i="5"/>
  <c r="AJ172" i="5"/>
  <c r="AJ160" i="5"/>
  <c r="AJ390" i="5"/>
  <c r="AJ366" i="5"/>
  <c r="AJ342" i="5"/>
  <c r="AJ318" i="5"/>
  <c r="AJ294" i="5"/>
  <c r="AJ215" i="5"/>
  <c r="AJ203" i="5"/>
  <c r="AJ191" i="5"/>
  <c r="AJ179" i="5"/>
  <c r="AJ167" i="5"/>
  <c r="AJ155" i="5"/>
  <c r="AJ143" i="5"/>
  <c r="AJ131" i="5"/>
  <c r="AJ119" i="5"/>
  <c r="AJ107" i="5"/>
  <c r="AJ243" i="5"/>
  <c r="AJ231" i="5"/>
  <c r="AJ222" i="5"/>
  <c r="AJ210" i="5"/>
  <c r="AJ198" i="5"/>
  <c r="AJ186" i="5"/>
  <c r="AJ174" i="5"/>
  <c r="AJ162" i="5"/>
  <c r="AJ150" i="5"/>
  <c r="AJ138" i="5"/>
  <c r="AJ126" i="5"/>
  <c r="AJ114" i="5"/>
  <c r="AJ102" i="5"/>
  <c r="AJ255" i="5"/>
  <c r="AJ247" i="5"/>
  <c r="AJ235" i="5"/>
  <c r="AJ217" i="5"/>
  <c r="AJ205" i="5"/>
  <c r="AJ193" i="5"/>
  <c r="AJ181" i="5"/>
  <c r="AJ169" i="5"/>
  <c r="AJ157" i="5"/>
  <c r="AJ145" i="5"/>
  <c r="AJ133" i="5"/>
  <c r="AJ250" i="5"/>
  <c r="AJ238" i="5"/>
  <c r="AJ224" i="5"/>
  <c r="AJ212" i="5"/>
  <c r="AJ200" i="5"/>
  <c r="AJ188" i="5"/>
  <c r="AJ176" i="5"/>
  <c r="AJ164" i="5"/>
  <c r="AJ152" i="5"/>
  <c r="AJ378" i="5"/>
  <c r="AJ354" i="5"/>
  <c r="AJ330" i="5"/>
  <c r="AJ306" i="5"/>
  <c r="AJ221" i="5"/>
  <c r="AJ209" i="5"/>
  <c r="AJ197" i="5"/>
  <c r="AJ185" i="5"/>
  <c r="AJ173" i="5"/>
  <c r="AJ161" i="5"/>
  <c r="AJ149" i="5"/>
  <c r="AJ137" i="5"/>
  <c r="AJ125" i="5"/>
  <c r="AJ113" i="5"/>
  <c r="AJ101" i="5"/>
  <c r="AJ124" i="5"/>
  <c r="AJ100" i="5"/>
  <c r="AJ95" i="5"/>
  <c r="AJ83" i="5"/>
  <c r="AJ71" i="5"/>
  <c r="AJ55" i="5"/>
  <c r="AJ53" i="5"/>
  <c r="AJ44" i="5"/>
  <c r="AJ28" i="5"/>
  <c r="AJ26" i="5"/>
  <c r="AJ24" i="5"/>
  <c r="AJ153" i="5"/>
  <c r="AJ142" i="5"/>
  <c r="AJ117" i="5"/>
  <c r="AJ110" i="5"/>
  <c r="AJ90" i="5"/>
  <c r="AJ78" i="5"/>
  <c r="AJ66" i="5"/>
  <c r="AJ57" i="5"/>
  <c r="AJ48" i="5"/>
  <c r="AJ46" i="5"/>
  <c r="AJ37" i="5"/>
  <c r="AJ30" i="5"/>
  <c r="AJ219" i="5"/>
  <c r="AJ207" i="5"/>
  <c r="AJ195" i="5"/>
  <c r="AJ260" i="5"/>
  <c r="AJ226" i="5"/>
  <c r="AJ214" i="5"/>
  <c r="AJ202" i="5"/>
  <c r="AJ190" i="5"/>
  <c r="AJ178" i="5"/>
  <c r="AJ166" i="5"/>
  <c r="AJ130" i="5"/>
  <c r="AJ123" i="5"/>
  <c r="AJ106" i="5"/>
  <c r="AJ92" i="5"/>
  <c r="AJ80" i="5"/>
  <c r="AJ68" i="5"/>
  <c r="AJ50" i="5"/>
  <c r="AJ234" i="5"/>
  <c r="AJ151" i="5"/>
  <c r="AJ116" i="5"/>
  <c r="AJ109" i="5"/>
  <c r="AJ99" i="5"/>
  <c r="AJ87" i="5"/>
  <c r="AJ75" i="5"/>
  <c r="AJ63" i="5"/>
  <c r="AJ41" i="5"/>
  <c r="AJ34" i="5"/>
  <c r="AJ21" i="5"/>
  <c r="AJ159" i="5"/>
  <c r="AJ141" i="5"/>
  <c r="AJ94" i="5"/>
  <c r="AJ82" i="5"/>
  <c r="AJ70" i="5"/>
  <c r="AJ52" i="5"/>
  <c r="AJ112" i="5"/>
  <c r="AJ89" i="5"/>
  <c r="AJ77" i="5"/>
  <c r="AJ65" i="5"/>
  <c r="AJ56" i="5"/>
  <c r="AJ54" i="5"/>
  <c r="AJ45" i="5"/>
  <c r="AJ43" i="5"/>
  <c r="AJ36" i="5"/>
  <c r="AJ27" i="5"/>
  <c r="AJ25" i="5"/>
  <c r="AJ144" i="5"/>
  <c r="AJ140" i="5"/>
  <c r="AJ129" i="5"/>
  <c r="AJ122" i="5"/>
  <c r="AJ105" i="5"/>
  <c r="AJ96" i="5"/>
  <c r="AJ84" i="5"/>
  <c r="AJ72" i="5"/>
  <c r="AJ47" i="5"/>
  <c r="AJ38" i="5"/>
  <c r="AJ29" i="5"/>
  <c r="AJ246" i="5"/>
  <c r="AJ136" i="5"/>
  <c r="AJ132" i="5"/>
  <c r="AJ115" i="5"/>
  <c r="AJ108" i="5"/>
  <c r="AJ91" i="5"/>
  <c r="AJ79" i="5"/>
  <c r="AJ67" i="5"/>
  <c r="AJ60" i="5"/>
  <c r="AJ58" i="5"/>
  <c r="AJ49" i="5"/>
  <c r="AJ31" i="5"/>
  <c r="AJ8" i="5"/>
  <c r="AJ148" i="5"/>
  <c r="AJ118" i="5"/>
  <c r="AJ111" i="5"/>
  <c r="AJ98" i="5"/>
  <c r="AJ86" i="5"/>
  <c r="AJ74" i="5"/>
  <c r="AJ62" i="5"/>
  <c r="AJ40" i="5"/>
  <c r="AJ20" i="5"/>
  <c r="AJ154" i="5"/>
  <c r="AJ147" i="5"/>
  <c r="AJ139" i="5"/>
  <c r="AJ88" i="5"/>
  <c r="AJ76" i="5"/>
  <c r="AJ64" i="5"/>
  <c r="AJ42" i="5"/>
  <c r="AJ35" i="5"/>
  <c r="AJ22" i="5"/>
  <c r="AJ69" i="5"/>
  <c r="AJ104" i="5"/>
  <c r="O13" i="5"/>
  <c r="B59" i="5"/>
  <c r="AJ59" i="5"/>
  <c r="B125" i="2"/>
  <c r="B58" i="5"/>
  <c r="B52" i="5"/>
  <c r="B115" i="2"/>
  <c r="B114" i="2"/>
  <c r="H53" i="1"/>
  <c r="B111" i="2"/>
  <c r="H51" i="1" s="1"/>
  <c r="B134" i="2"/>
  <c r="B35" i="5"/>
  <c r="B41" i="5"/>
  <c r="B132" i="2"/>
  <c r="B160" i="2" s="1"/>
  <c r="B161" i="2" s="1"/>
  <c r="AP67" i="4"/>
  <c r="AP132" i="4"/>
  <c r="AP9" i="4"/>
  <c r="AP52" i="4"/>
  <c r="AP102" i="4"/>
  <c r="AP22" i="4"/>
  <c r="AP99" i="4"/>
  <c r="AP19" i="4"/>
  <c r="AP84" i="4"/>
  <c r="AP134" i="4"/>
  <c r="AP54" i="4"/>
  <c r="AP131" i="4"/>
  <c r="AP51" i="4"/>
  <c r="AP116" i="4"/>
  <c r="AP36" i="4"/>
  <c r="AP86" i="4"/>
  <c r="AP83" i="4"/>
  <c r="AP148" i="4"/>
  <c r="AP68" i="4"/>
  <c r="AP118" i="4"/>
  <c r="AP10" i="4"/>
  <c r="AP38" i="4"/>
  <c r="AP115" i="4"/>
  <c r="AP35" i="4"/>
  <c r="AP100" i="4"/>
  <c r="AP150" i="4"/>
  <c r="AP20" i="4"/>
  <c r="AP70" i="4"/>
  <c r="AP147" i="4"/>
  <c r="AG35" i="4"/>
  <c r="AG59" i="4"/>
  <c r="AG143" i="4"/>
  <c r="AG19" i="4"/>
  <c r="AG43" i="4"/>
  <c r="AG127" i="4"/>
  <c r="AG151" i="4"/>
  <c r="AG27" i="4"/>
  <c r="AG111" i="4"/>
  <c r="AG135" i="4"/>
  <c r="AG95" i="4"/>
  <c r="AG119" i="4"/>
  <c r="AG79" i="4"/>
  <c r="AG103" i="4"/>
  <c r="AG63" i="4"/>
  <c r="AG87" i="4"/>
  <c r="AG147" i="4"/>
  <c r="AG47" i="4"/>
  <c r="AG71" i="4"/>
  <c r="AG131" i="4"/>
  <c r="AG155" i="4"/>
  <c r="AG31" i="4"/>
  <c r="AG55" i="4"/>
  <c r="AG115" i="4"/>
  <c r="AG139" i="4"/>
  <c r="AG15" i="4"/>
  <c r="AG39" i="4"/>
  <c r="AG99" i="4"/>
  <c r="AG123" i="4"/>
  <c r="AG23" i="4"/>
  <c r="AG83" i="4"/>
  <c r="AG107" i="4"/>
  <c r="AG67" i="4"/>
  <c r="AG91" i="4"/>
  <c r="AG51" i="4"/>
  <c r="AG75" i="4"/>
  <c r="AP16" i="4"/>
  <c r="AP32" i="4"/>
  <c r="AP48" i="4"/>
  <c r="AP64" i="4"/>
  <c r="AP80" i="4"/>
  <c r="AP96" i="4"/>
  <c r="AP112" i="4"/>
  <c r="AP128" i="4"/>
  <c r="AP144" i="4"/>
  <c r="AP12" i="4"/>
  <c r="AP25" i="4"/>
  <c r="AP41" i="4"/>
  <c r="AP57" i="4"/>
  <c r="AP73" i="4"/>
  <c r="AP89" i="4"/>
  <c r="AP105" i="4"/>
  <c r="AP121" i="4"/>
  <c r="AP137" i="4"/>
  <c r="AP153" i="4"/>
  <c r="AP28" i="4"/>
  <c r="AP44" i="4"/>
  <c r="AP60" i="4"/>
  <c r="AP76" i="4"/>
  <c r="AP92" i="4"/>
  <c r="AP108" i="4"/>
  <c r="AP124" i="4"/>
  <c r="AP140" i="4"/>
  <c r="AP156" i="4"/>
  <c r="AP8" i="4"/>
  <c r="AP15" i="4"/>
  <c r="AP18" i="4"/>
  <c r="AP31" i="4"/>
  <c r="AP34" i="4"/>
  <c r="AP47" i="4"/>
  <c r="AP50" i="4"/>
  <c r="AP63" i="4"/>
  <c r="AP66" i="4"/>
  <c r="AP79" i="4"/>
  <c r="AP82" i="4"/>
  <c r="AP95" i="4"/>
  <c r="AP98" i="4"/>
  <c r="AP111" i="4"/>
  <c r="AP114" i="4"/>
  <c r="AP127" i="4"/>
  <c r="AP130" i="4"/>
  <c r="AP143" i="4"/>
  <c r="AP146" i="4"/>
  <c r="AP11" i="4"/>
  <c r="AP21" i="4"/>
  <c r="AP37" i="4"/>
  <c r="AP53" i="4"/>
  <c r="AP69" i="4"/>
  <c r="AP85" i="4"/>
  <c r="AP101" i="4"/>
  <c r="AP117" i="4"/>
  <c r="AP133" i="4"/>
  <c r="AP149" i="4"/>
  <c r="AP14" i="4"/>
  <c r="AP24" i="4"/>
  <c r="AP40" i="4"/>
  <c r="AP56" i="4"/>
  <c r="AP72" i="4"/>
  <c r="AP88" i="4"/>
  <c r="AP104" i="4"/>
  <c r="AP120" i="4"/>
  <c r="AP136" i="4"/>
  <c r="AP152" i="4"/>
  <c r="AP7" i="4"/>
  <c r="AP27" i="4"/>
  <c r="AP30" i="4"/>
  <c r="AP43" i="4"/>
  <c r="AP46" i="4"/>
  <c r="AP59" i="4"/>
  <c r="AP62" i="4"/>
  <c r="AP75" i="4"/>
  <c r="AP78" i="4"/>
  <c r="AP91" i="4"/>
  <c r="AP94" i="4"/>
  <c r="AP107" i="4"/>
  <c r="AP110" i="4"/>
  <c r="AP123" i="4"/>
  <c r="AP126" i="4"/>
  <c r="AP139" i="4"/>
  <c r="AP142" i="4"/>
  <c r="AP155" i="4"/>
  <c r="AP17" i="4"/>
  <c r="AP33" i="4"/>
  <c r="AP49" i="4"/>
  <c r="AP65" i="4"/>
  <c r="AP81" i="4"/>
  <c r="AP97" i="4"/>
  <c r="AP113" i="4"/>
  <c r="AP129" i="4"/>
  <c r="AP145" i="4"/>
  <c r="AP13" i="4"/>
  <c r="AP23" i="4"/>
  <c r="AP26" i="4"/>
  <c r="AP39" i="4"/>
  <c r="AP42" i="4"/>
  <c r="AP55" i="4"/>
  <c r="AP58" i="4"/>
  <c r="AP71" i="4"/>
  <c r="AP74" i="4"/>
  <c r="AP87" i="4"/>
  <c r="AP90" i="4"/>
  <c r="AP103" i="4"/>
  <c r="AP106" i="4"/>
  <c r="AP119" i="4"/>
  <c r="AP122" i="4"/>
  <c r="AP135" i="4"/>
  <c r="AP138" i="4"/>
  <c r="AP151" i="4"/>
  <c r="AP154" i="4"/>
  <c r="AP29" i="4"/>
  <c r="AP45" i="4"/>
  <c r="AP61" i="4"/>
  <c r="AP77" i="4"/>
  <c r="AP93" i="4"/>
  <c r="AP109" i="4"/>
  <c r="AP125" i="4"/>
  <c r="AP141" i="4"/>
  <c r="AG10" i="4"/>
  <c r="AG14" i="4"/>
  <c r="AG18" i="4"/>
  <c r="AG22" i="4"/>
  <c r="AG26" i="4"/>
  <c r="AG30" i="4"/>
  <c r="AG34" i="4"/>
  <c r="AG38" i="4"/>
  <c r="AG42" i="4"/>
  <c r="AG46" i="4"/>
  <c r="AG50" i="4"/>
  <c r="AG54" i="4"/>
  <c r="AG58" i="4"/>
  <c r="AG62" i="4"/>
  <c r="AG66" i="4"/>
  <c r="AG70" i="4"/>
  <c r="AG74" i="4"/>
  <c r="AG78" i="4"/>
  <c r="AG82" i="4"/>
  <c r="AG86" i="4"/>
  <c r="AG90" i="4"/>
  <c r="AG94" i="4"/>
  <c r="AG98" i="4"/>
  <c r="AG102" i="4"/>
  <c r="AG106" i="4"/>
  <c r="AG110" i="4"/>
  <c r="AG114" i="4"/>
  <c r="AG118" i="4"/>
  <c r="AG122" i="4"/>
  <c r="AG126" i="4"/>
  <c r="AG130" i="4"/>
  <c r="AG134" i="4"/>
  <c r="AG138" i="4"/>
  <c r="AG142" i="4"/>
  <c r="AG146" i="4"/>
  <c r="AG150" i="4"/>
  <c r="AG154" i="4"/>
  <c r="AG9" i="4"/>
  <c r="AG13" i="4"/>
  <c r="AG17" i="4"/>
  <c r="AG21" i="4"/>
  <c r="AG25" i="4"/>
  <c r="AG29" i="4"/>
  <c r="AG33" i="4"/>
  <c r="AG37" i="4"/>
  <c r="AG41" i="4"/>
  <c r="AG45" i="4"/>
  <c r="AG49" i="4"/>
  <c r="AG53" i="4"/>
  <c r="AG57" i="4"/>
  <c r="AG61" i="4"/>
  <c r="AG65" i="4"/>
  <c r="AG69" i="4"/>
  <c r="AG73" i="4"/>
  <c r="AG77" i="4"/>
  <c r="AG81" i="4"/>
  <c r="AG85" i="4"/>
  <c r="AG89" i="4"/>
  <c r="AG93" i="4"/>
  <c r="AG97" i="4"/>
  <c r="AG101" i="4"/>
  <c r="AG105" i="4"/>
  <c r="AG109" i="4"/>
  <c r="AG113" i="4"/>
  <c r="AG117" i="4"/>
  <c r="AG121" i="4"/>
  <c r="AG125" i="4"/>
  <c r="AG129" i="4"/>
  <c r="AG133" i="4"/>
  <c r="AG137" i="4"/>
  <c r="AG141" i="4"/>
  <c r="AG145" i="4"/>
  <c r="AG149" i="4"/>
  <c r="AG153" i="4"/>
  <c r="AG157" i="4"/>
  <c r="AG7" i="4"/>
  <c r="AG12" i="4"/>
  <c r="AG8" i="4"/>
  <c r="AG16" i="4"/>
  <c r="AG20" i="4"/>
  <c r="AG24" i="4"/>
  <c r="AG28" i="4"/>
  <c r="AG32" i="4"/>
  <c r="AG36" i="4"/>
  <c r="AG40" i="4"/>
  <c r="AG44" i="4"/>
  <c r="AG48" i="4"/>
  <c r="AG52" i="4"/>
  <c r="AG56" i="4"/>
  <c r="AG60" i="4"/>
  <c r="AG64" i="4"/>
  <c r="AG68" i="4"/>
  <c r="AG72" i="4"/>
  <c r="AG76" i="4"/>
  <c r="AG80" i="4"/>
  <c r="AG84" i="4"/>
  <c r="AG88" i="4"/>
  <c r="AG92" i="4"/>
  <c r="AG96" i="4"/>
  <c r="AG100" i="4"/>
  <c r="AG104" i="4"/>
  <c r="AG108" i="4"/>
  <c r="AG112" i="4"/>
  <c r="AG116" i="4"/>
  <c r="AG120" i="4"/>
  <c r="AG124" i="4"/>
  <c r="AG128" i="4"/>
  <c r="AG132" i="4"/>
  <c r="AG136" i="4"/>
  <c r="AG140" i="4"/>
  <c r="AG144" i="4"/>
  <c r="AG148" i="4"/>
  <c r="AG152" i="4"/>
  <c r="AG156" i="4"/>
  <c r="B196" i="2"/>
  <c r="B195" i="2"/>
  <c r="AL19" i="4"/>
  <c r="AL31" i="4"/>
  <c r="AL8" i="4"/>
  <c r="AN8" i="4" s="1"/>
  <c r="AM8" i="4"/>
  <c r="AL25" i="4"/>
  <c r="AM32" i="4"/>
  <c r="AL28" i="4"/>
  <c r="AL55" i="4"/>
  <c r="AL22" i="4"/>
  <c r="AL38" i="4"/>
  <c r="AL64" i="4"/>
  <c r="AL16" i="4"/>
  <c r="AL46" i="4"/>
  <c r="AL9" i="4"/>
  <c r="AM19" i="4"/>
  <c r="AN19" i="4" s="1"/>
  <c r="AM25" i="4"/>
  <c r="AN25" i="4" s="1"/>
  <c r="AL32" i="4"/>
  <c r="AN32" i="4" s="1"/>
  <c r="AM37" i="4"/>
  <c r="AM45" i="4"/>
  <c r="AM54" i="4"/>
  <c r="AM63" i="4"/>
  <c r="AL17" i="4"/>
  <c r="AL20" i="4"/>
  <c r="AL23" i="4"/>
  <c r="AL26" i="4"/>
  <c r="AL29" i="4"/>
  <c r="AM38" i="4"/>
  <c r="AM46" i="4"/>
  <c r="AN46" i="4" s="1"/>
  <c r="AL47" i="4"/>
  <c r="AM55" i="4"/>
  <c r="AL56" i="4"/>
  <c r="AM64" i="4"/>
  <c r="AL65" i="4"/>
  <c r="AM14" i="4"/>
  <c r="AM17" i="4"/>
  <c r="AM20" i="4"/>
  <c r="AM23" i="4"/>
  <c r="AM26" i="4"/>
  <c r="AM29" i="4"/>
  <c r="AM47" i="4"/>
  <c r="AM56" i="4"/>
  <c r="AM65" i="4"/>
  <c r="AL10" i="4"/>
  <c r="AM33" i="4"/>
  <c r="AM39" i="4"/>
  <c r="AM48" i="4"/>
  <c r="AM57" i="4"/>
  <c r="AM66" i="4"/>
  <c r="AL7" i="4"/>
  <c r="AL34" i="4"/>
  <c r="AL40" i="4"/>
  <c r="AL49" i="4"/>
  <c r="AL58" i="4"/>
  <c r="AL67" i="4"/>
  <c r="AL68" i="4"/>
  <c r="AM7" i="4"/>
  <c r="AL15" i="4"/>
  <c r="AL18" i="4"/>
  <c r="AL21" i="4"/>
  <c r="AL24" i="4"/>
  <c r="AL27" i="4"/>
  <c r="AL30" i="4"/>
  <c r="AM34" i="4"/>
  <c r="AM40" i="4"/>
  <c r="AL41" i="4"/>
  <c r="AM49" i="4"/>
  <c r="AL50" i="4"/>
  <c r="AM58" i="4"/>
  <c r="AL59" i="4"/>
  <c r="AM68" i="4"/>
  <c r="AM15" i="4"/>
  <c r="AM21" i="4"/>
  <c r="AM24" i="4"/>
  <c r="AM27" i="4"/>
  <c r="AM30" i="4"/>
  <c r="AL35" i="4"/>
  <c r="AM41" i="4"/>
  <c r="AM50" i="4"/>
  <c r="AM59" i="4"/>
  <c r="AM69" i="4"/>
  <c r="AL11" i="4"/>
  <c r="AM18" i="4"/>
  <c r="AM35" i="4"/>
  <c r="AM42" i="4"/>
  <c r="AM51" i="4"/>
  <c r="AM60" i="4"/>
  <c r="AL70" i="4"/>
  <c r="AN55" i="4"/>
  <c r="AL14" i="4"/>
  <c r="AN14" i="4" s="1"/>
  <c r="AM11" i="4"/>
  <c r="AM157" i="4"/>
  <c r="AM154" i="4"/>
  <c r="AM151" i="4"/>
  <c r="AM148" i="4"/>
  <c r="AM145" i="4"/>
  <c r="AM142" i="4"/>
  <c r="AM139" i="4"/>
  <c r="AM136" i="4"/>
  <c r="AM133" i="4"/>
  <c r="AM130" i="4"/>
  <c r="AM127" i="4"/>
  <c r="AM124" i="4"/>
  <c r="AM121" i="4"/>
  <c r="AM118" i="4"/>
  <c r="AM115" i="4"/>
  <c r="AM112" i="4"/>
  <c r="AM109" i="4"/>
  <c r="AM106" i="4"/>
  <c r="AM103" i="4"/>
  <c r="AM100" i="4"/>
  <c r="AM97" i="4"/>
  <c r="AM94" i="4"/>
  <c r="AM91" i="4"/>
  <c r="AM88" i="4"/>
  <c r="AM85" i="4"/>
  <c r="AM82" i="4"/>
  <c r="AM79" i="4"/>
  <c r="AM76" i="4"/>
  <c r="AM73" i="4"/>
  <c r="AM70" i="4"/>
  <c r="AM67" i="4"/>
  <c r="AL157" i="4"/>
  <c r="AL154" i="4"/>
  <c r="AL151" i="4"/>
  <c r="AL148" i="4"/>
  <c r="AN148" i="4" s="1"/>
  <c r="AL145" i="4"/>
  <c r="AL142" i="4"/>
  <c r="AL139" i="4"/>
  <c r="AL136" i="4"/>
  <c r="AL133" i="4"/>
  <c r="AL130" i="4"/>
  <c r="AL127" i="4"/>
  <c r="AL124" i="4"/>
  <c r="AL121" i="4"/>
  <c r="AL118" i="4"/>
  <c r="AL115" i="4"/>
  <c r="AL112" i="4"/>
  <c r="AN112" i="4" s="1"/>
  <c r="AL109" i="4"/>
  <c r="AL106" i="4"/>
  <c r="AL103" i="4"/>
  <c r="AL100" i="4"/>
  <c r="AL97" i="4"/>
  <c r="AL94" i="4"/>
  <c r="AL91" i="4"/>
  <c r="AL88" i="4"/>
  <c r="AL85" i="4"/>
  <c r="AL82" i="4"/>
  <c r="AL79" i="4"/>
  <c r="AL76" i="4"/>
  <c r="AN76" i="4" s="1"/>
  <c r="AL13" i="4"/>
  <c r="AN13" i="4" s="1"/>
  <c r="AM10" i="4"/>
  <c r="AM156" i="4"/>
  <c r="AM153" i="4"/>
  <c r="AM150" i="4"/>
  <c r="AM147" i="4"/>
  <c r="AM144" i="4"/>
  <c r="AM141" i="4"/>
  <c r="AM138" i="4"/>
  <c r="AM135" i="4"/>
  <c r="AM132" i="4"/>
  <c r="AM129" i="4"/>
  <c r="AM126" i="4"/>
  <c r="AM123" i="4"/>
  <c r="AM120" i="4"/>
  <c r="AM117" i="4"/>
  <c r="AM114" i="4"/>
  <c r="AM111" i="4"/>
  <c r="AM108" i="4"/>
  <c r="AM105" i="4"/>
  <c r="AM102" i="4"/>
  <c r="AM99" i="4"/>
  <c r="AM96" i="4"/>
  <c r="AM93" i="4"/>
  <c r="AM90" i="4"/>
  <c r="AM87" i="4"/>
  <c r="AM84" i="4"/>
  <c r="AM81" i="4"/>
  <c r="AM78" i="4"/>
  <c r="AM75" i="4"/>
  <c r="AM72" i="4"/>
  <c r="AL156" i="4"/>
  <c r="AN156" i="4" s="1"/>
  <c r="AL153" i="4"/>
  <c r="AL150" i="4"/>
  <c r="AL147" i="4"/>
  <c r="AL144" i="4"/>
  <c r="AN144" i="4" s="1"/>
  <c r="AL141" i="4"/>
  <c r="AL138" i="4"/>
  <c r="AL135" i="4"/>
  <c r="AL132" i="4"/>
  <c r="AL129" i="4"/>
  <c r="AL126" i="4"/>
  <c r="AL123" i="4"/>
  <c r="AL120" i="4"/>
  <c r="AN120" i="4" s="1"/>
  <c r="AL117" i="4"/>
  <c r="AL114" i="4"/>
  <c r="AL111" i="4"/>
  <c r="AL108" i="4"/>
  <c r="AL105" i="4"/>
  <c r="AL102" i="4"/>
  <c r="AL99" i="4"/>
  <c r="AL96" i="4"/>
  <c r="AL93" i="4"/>
  <c r="AL90" i="4"/>
  <c r="AL87" i="4"/>
  <c r="AL84" i="4"/>
  <c r="AN84" i="4" s="1"/>
  <c r="AL81" i="4"/>
  <c r="AL78" i="4"/>
  <c r="AL75" i="4"/>
  <c r="AL72" i="4"/>
  <c r="AL69" i="4"/>
  <c r="AL66" i="4"/>
  <c r="AL63" i="4"/>
  <c r="AL60" i="4"/>
  <c r="AL57" i="4"/>
  <c r="AL54" i="4"/>
  <c r="AL51" i="4"/>
  <c r="AL48" i="4"/>
  <c r="AN48" i="4" s="1"/>
  <c r="AL45" i="4"/>
  <c r="AL42" i="4"/>
  <c r="AN42" i="4" s="1"/>
  <c r="AL39" i="4"/>
  <c r="AL36" i="4"/>
  <c r="AL33" i="4"/>
  <c r="AL12" i="4"/>
  <c r="AM9" i="4"/>
  <c r="AL43" i="4"/>
  <c r="AL52" i="4"/>
  <c r="AL61" i="4"/>
  <c r="AM71" i="4"/>
  <c r="AN71" i="4" s="1"/>
  <c r="AM36" i="4"/>
  <c r="AM43" i="4"/>
  <c r="AL44" i="4"/>
  <c r="AM52" i="4"/>
  <c r="AL53" i="4"/>
  <c r="AM61" i="4"/>
  <c r="AL62" i="4"/>
  <c r="AL73" i="4"/>
  <c r="AL74" i="4"/>
  <c r="AL77" i="4"/>
  <c r="AL80" i="4"/>
  <c r="AL83" i="4"/>
  <c r="AL86" i="4"/>
  <c r="AL89" i="4"/>
  <c r="AL92" i="4"/>
  <c r="AL95" i="4"/>
  <c r="AL98" i="4"/>
  <c r="AL101" i="4"/>
  <c r="AL104" i="4"/>
  <c r="AL107" i="4"/>
  <c r="AL110" i="4"/>
  <c r="AL113" i="4"/>
  <c r="AL116" i="4"/>
  <c r="AL119" i="4"/>
  <c r="AL122" i="4"/>
  <c r="AL125" i="4"/>
  <c r="AL128" i="4"/>
  <c r="AL131" i="4"/>
  <c r="AL134" i="4"/>
  <c r="AL137" i="4"/>
  <c r="AL140" i="4"/>
  <c r="AL143" i="4"/>
  <c r="AL146" i="4"/>
  <c r="AL149" i="4"/>
  <c r="AL152" i="4"/>
  <c r="AL155" i="4"/>
  <c r="AM12" i="4"/>
  <c r="AM16" i="4"/>
  <c r="AM22" i="4"/>
  <c r="AN22" i="4" s="1"/>
  <c r="AM28" i="4"/>
  <c r="AN28" i="4" s="1"/>
  <c r="AM31" i="4"/>
  <c r="AN31" i="4" s="1"/>
  <c r="AL37" i="4"/>
  <c r="AN37" i="4" s="1"/>
  <c r="AM44" i="4"/>
  <c r="AM53" i="4"/>
  <c r="AM62" i="4"/>
  <c r="AM74" i="4"/>
  <c r="AM77" i="4"/>
  <c r="AM80" i="4"/>
  <c r="AM83" i="4"/>
  <c r="AM86" i="4"/>
  <c r="AM89" i="4"/>
  <c r="AM92" i="4"/>
  <c r="AM95" i="4"/>
  <c r="AM98" i="4"/>
  <c r="AM101" i="4"/>
  <c r="AM104" i="4"/>
  <c r="AM107" i="4"/>
  <c r="AM110" i="4"/>
  <c r="AM113" i="4"/>
  <c r="AM116" i="4"/>
  <c r="AM119" i="4"/>
  <c r="AM122" i="4"/>
  <c r="AM125" i="4"/>
  <c r="AM128" i="4"/>
  <c r="AM131" i="4"/>
  <c r="AM134" i="4"/>
  <c r="AM137" i="4"/>
  <c r="AM140" i="4"/>
  <c r="AM143" i="4"/>
  <c r="AM146" i="4"/>
  <c r="AM149" i="4"/>
  <c r="AM152" i="4"/>
  <c r="AM155" i="4"/>
  <c r="AB8" i="5" l="1"/>
  <c r="AA8" i="5"/>
  <c r="S7" i="5"/>
  <c r="T7" i="5"/>
  <c r="U7" i="5" s="1"/>
  <c r="Y8" i="5"/>
  <c r="X8" i="5"/>
  <c r="Z7" i="5"/>
  <c r="W7" i="5"/>
  <c r="AG553" i="5"/>
  <c r="AG541" i="5"/>
  <c r="AG529" i="5"/>
  <c r="AG517" i="5"/>
  <c r="AG505" i="5"/>
  <c r="AG493" i="5"/>
  <c r="AG481" i="5"/>
  <c r="AG469" i="5"/>
  <c r="AG457" i="5"/>
  <c r="AG445" i="5"/>
  <c r="AG433" i="5"/>
  <c r="AG421" i="5"/>
  <c r="AG409" i="5"/>
  <c r="AG397" i="5"/>
  <c r="AG385" i="5"/>
  <c r="AG373" i="5"/>
  <c r="AG361" i="5"/>
  <c r="AG349" i="5"/>
  <c r="AG337" i="5"/>
  <c r="AG325" i="5"/>
  <c r="AG313" i="5"/>
  <c r="AG301" i="5"/>
  <c r="AG289" i="5"/>
  <c r="AG277" i="5"/>
  <c r="AG265" i="5"/>
  <c r="AG253" i="5"/>
  <c r="AG241" i="5"/>
  <c r="AG229" i="5"/>
  <c r="AG554" i="5"/>
  <c r="AG542" i="5"/>
  <c r="AG530" i="5"/>
  <c r="AG518" i="5"/>
  <c r="AG506" i="5"/>
  <c r="AG494" i="5"/>
  <c r="AG482" i="5"/>
  <c r="AG470" i="5"/>
  <c r="AG458" i="5"/>
  <c r="AG446" i="5"/>
  <c r="AG434" i="5"/>
  <c r="AG422" i="5"/>
  <c r="AG410" i="5"/>
  <c r="AG398" i="5"/>
  <c r="AG386" i="5"/>
  <c r="AG374" i="5"/>
  <c r="AG362" i="5"/>
  <c r="AG350" i="5"/>
  <c r="AG338" i="5"/>
  <c r="AG326" i="5"/>
  <c r="AG314" i="5"/>
  <c r="AG302" i="5"/>
  <c r="AG290" i="5"/>
  <c r="AG278" i="5"/>
  <c r="AG266" i="5"/>
  <c r="AG254" i="5"/>
  <c r="AG242" i="5"/>
  <c r="AG230" i="5"/>
  <c r="AG555" i="5"/>
  <c r="AG543" i="5"/>
  <c r="AG531" i="5"/>
  <c r="AG519" i="5"/>
  <c r="AG507" i="5"/>
  <c r="AG495" i="5"/>
  <c r="AG483" i="5"/>
  <c r="AG471" i="5"/>
  <c r="AG459" i="5"/>
  <c r="AG447" i="5"/>
  <c r="AG435" i="5"/>
  <c r="AG423" i="5"/>
  <c r="AG411" i="5"/>
  <c r="AG399" i="5"/>
  <c r="AG387" i="5"/>
  <c r="AG375" i="5"/>
  <c r="AG363" i="5"/>
  <c r="AG351" i="5"/>
  <c r="AG339" i="5"/>
  <c r="AG327" i="5"/>
  <c r="AG315" i="5"/>
  <c r="AG303" i="5"/>
  <c r="AG291" i="5"/>
  <c r="AG279" i="5"/>
  <c r="AG267" i="5"/>
  <c r="AG255" i="5"/>
  <c r="AG243" i="5"/>
  <c r="AG231" i="5"/>
  <c r="AG556" i="5"/>
  <c r="AG544" i="5"/>
  <c r="AG532" i="5"/>
  <c r="AG520" i="5"/>
  <c r="AG508" i="5"/>
  <c r="AG496" i="5"/>
  <c r="AG484" i="5"/>
  <c r="AG472" i="5"/>
  <c r="AG460" i="5"/>
  <c r="AG448" i="5"/>
  <c r="AG436" i="5"/>
  <c r="AG424" i="5"/>
  <c r="AG412" i="5"/>
  <c r="AG400" i="5"/>
  <c r="AG388" i="5"/>
  <c r="AG376" i="5"/>
  <c r="AG364" i="5"/>
  <c r="AG352" i="5"/>
  <c r="AG340" i="5"/>
  <c r="AG328" i="5"/>
  <c r="AG316" i="5"/>
  <c r="AG304" i="5"/>
  <c r="AG292" i="5"/>
  <c r="AG280" i="5"/>
  <c r="AG268" i="5"/>
  <c r="AG256" i="5"/>
  <c r="AG244" i="5"/>
  <c r="AG232" i="5"/>
  <c r="AG557" i="5"/>
  <c r="AG545" i="5"/>
  <c r="AG533" i="5"/>
  <c r="AG521" i="5"/>
  <c r="AG509" i="5"/>
  <c r="AG497" i="5"/>
  <c r="AG485" i="5"/>
  <c r="AG473" i="5"/>
  <c r="AG461" i="5"/>
  <c r="AG449" i="5"/>
  <c r="AG437" i="5"/>
  <c r="AG425" i="5"/>
  <c r="AG413" i="5"/>
  <c r="AG401" i="5"/>
  <c r="AG389" i="5"/>
  <c r="AG377" i="5"/>
  <c r="AG365" i="5"/>
  <c r="AG353" i="5"/>
  <c r="AG341" i="5"/>
  <c r="AG329" i="5"/>
  <c r="AG317" i="5"/>
  <c r="AG305" i="5"/>
  <c r="AG293" i="5"/>
  <c r="AG281" i="5"/>
  <c r="AG269" i="5"/>
  <c r="AG257" i="5"/>
  <c r="AG245" i="5"/>
  <c r="AG558" i="5"/>
  <c r="AG546" i="5"/>
  <c r="AG534" i="5"/>
  <c r="AG522" i="5"/>
  <c r="AG510" i="5"/>
  <c r="AG498" i="5"/>
  <c r="AG486" i="5"/>
  <c r="AG474" i="5"/>
  <c r="AG462" i="5"/>
  <c r="AG450" i="5"/>
  <c r="AG438" i="5"/>
  <c r="AG426" i="5"/>
  <c r="AG414" i="5"/>
  <c r="AG402" i="5"/>
  <c r="AG390" i="5"/>
  <c r="AG378" i="5"/>
  <c r="AG366" i="5"/>
  <c r="AG354" i="5"/>
  <c r="AG342" i="5"/>
  <c r="AG330" i="5"/>
  <c r="AG318" i="5"/>
  <c r="AG306" i="5"/>
  <c r="AG294" i="5"/>
  <c r="AG282" i="5"/>
  <c r="AG270" i="5"/>
  <c r="AG258" i="5"/>
  <c r="AG246" i="5"/>
  <c r="AG234" i="5"/>
  <c r="AG559" i="5"/>
  <c r="AG547" i="5"/>
  <c r="AG535" i="5"/>
  <c r="AG523" i="5"/>
  <c r="AG511" i="5"/>
  <c r="AG499" i="5"/>
  <c r="AG487" i="5"/>
  <c r="AG475" i="5"/>
  <c r="AG463" i="5"/>
  <c r="AG451" i="5"/>
  <c r="AG439" i="5"/>
  <c r="AG427" i="5"/>
  <c r="AG415" i="5"/>
  <c r="AG403" i="5"/>
  <c r="AG391" i="5"/>
  <c r="AG379" i="5"/>
  <c r="AG367" i="5"/>
  <c r="AG355" i="5"/>
  <c r="AG343" i="5"/>
  <c r="AG331" i="5"/>
  <c r="AG319" i="5"/>
  <c r="AG307" i="5"/>
  <c r="AG295" i="5"/>
  <c r="AG283" i="5"/>
  <c r="AG271" i="5"/>
  <c r="AG259" i="5"/>
  <c r="AG247" i="5"/>
  <c r="AG235" i="5"/>
  <c r="AG560" i="5"/>
  <c r="AG548" i="5"/>
  <c r="AG536" i="5"/>
  <c r="AG524" i="5"/>
  <c r="AG512" i="5"/>
  <c r="AG500" i="5"/>
  <c r="AG488" i="5"/>
  <c r="AG476" i="5"/>
  <c r="AG464" i="5"/>
  <c r="AG452" i="5"/>
  <c r="AG440" i="5"/>
  <c r="AG428" i="5"/>
  <c r="AG416" i="5"/>
  <c r="AG404" i="5"/>
  <c r="AG392" i="5"/>
  <c r="AG380" i="5"/>
  <c r="AG368" i="5"/>
  <c r="AG356" i="5"/>
  <c r="AG344" i="5"/>
  <c r="AG332" i="5"/>
  <c r="AG320" i="5"/>
  <c r="AG308" i="5"/>
  <c r="AG296" i="5"/>
  <c r="AG284" i="5"/>
  <c r="AG272" i="5"/>
  <c r="AG260" i="5"/>
  <c r="AG248" i="5"/>
  <c r="AG236" i="5"/>
  <c r="AG224" i="5"/>
  <c r="AG549" i="5"/>
  <c r="AG537" i="5"/>
  <c r="AG525" i="5"/>
  <c r="AG513" i="5"/>
  <c r="AG501" i="5"/>
  <c r="AG489" i="5"/>
  <c r="AG477" i="5"/>
  <c r="AG465" i="5"/>
  <c r="AG453" i="5"/>
  <c r="AG441" i="5"/>
  <c r="AG429" i="5"/>
  <c r="AG417" i="5"/>
  <c r="AG405" i="5"/>
  <c r="AG393" i="5"/>
  <c r="AG381" i="5"/>
  <c r="AG369" i="5"/>
  <c r="AG357" i="5"/>
  <c r="AG345" i="5"/>
  <c r="AG333" i="5"/>
  <c r="AG321" i="5"/>
  <c r="AG309" i="5"/>
  <c r="AG297" i="5"/>
  <c r="AG285" i="5"/>
  <c r="AG273" i="5"/>
  <c r="AG261" i="5"/>
  <c r="AG249" i="5"/>
  <c r="AG237" i="5"/>
  <c r="AG225" i="5"/>
  <c r="AG550" i="5"/>
  <c r="AG538" i="5"/>
  <c r="AG526" i="5"/>
  <c r="AG514" i="5"/>
  <c r="AG502" i="5"/>
  <c r="AG490" i="5"/>
  <c r="AG478" i="5"/>
  <c r="AG466" i="5"/>
  <c r="AG454" i="5"/>
  <c r="AG442" i="5"/>
  <c r="AG430" i="5"/>
  <c r="AG418" i="5"/>
  <c r="AG406" i="5"/>
  <c r="AG394" i="5"/>
  <c r="AG382" i="5"/>
  <c r="AG370" i="5"/>
  <c r="AG358" i="5"/>
  <c r="AG346" i="5"/>
  <c r="AG334" i="5"/>
  <c r="AG322" i="5"/>
  <c r="AG310" i="5"/>
  <c r="AG298" i="5"/>
  <c r="AG286" i="5"/>
  <c r="AG274" i="5"/>
  <c r="AG262" i="5"/>
  <c r="AG250" i="5"/>
  <c r="AG238" i="5"/>
  <c r="AG226" i="5"/>
  <c r="AG551" i="5"/>
  <c r="AG539" i="5"/>
  <c r="AG527" i="5"/>
  <c r="AG515" i="5"/>
  <c r="AG503" i="5"/>
  <c r="AG491" i="5"/>
  <c r="AG479" i="5"/>
  <c r="AG467" i="5"/>
  <c r="AG455" i="5"/>
  <c r="AG443" i="5"/>
  <c r="AG431" i="5"/>
  <c r="AG419" i="5"/>
  <c r="AG407" i="5"/>
  <c r="AG395" i="5"/>
  <c r="AG383" i="5"/>
  <c r="AG371" i="5"/>
  <c r="AG359" i="5"/>
  <c r="AG347" i="5"/>
  <c r="AG335" i="5"/>
  <c r="AG323" i="5"/>
  <c r="AG311" i="5"/>
  <c r="AG299" i="5"/>
  <c r="AG287" i="5"/>
  <c r="AG275" i="5"/>
  <c r="AG263" i="5"/>
  <c r="AG251" i="5"/>
  <c r="AG239" i="5"/>
  <c r="AG227" i="5"/>
  <c r="AG552" i="5"/>
  <c r="AG540" i="5"/>
  <c r="AG528" i="5"/>
  <c r="AG516" i="5"/>
  <c r="AG504" i="5"/>
  <c r="AG492" i="5"/>
  <c r="AG480" i="5"/>
  <c r="AG468" i="5"/>
  <c r="AG456" i="5"/>
  <c r="AG444" i="5"/>
  <c r="AG432" i="5"/>
  <c r="AG420" i="5"/>
  <c r="AG408" i="5"/>
  <c r="AG396" i="5"/>
  <c r="AG384" i="5"/>
  <c r="AG372" i="5"/>
  <c r="AG360" i="5"/>
  <c r="AG348" i="5"/>
  <c r="AG336" i="5"/>
  <c r="AG324" i="5"/>
  <c r="AG312" i="5"/>
  <c r="AG300" i="5"/>
  <c r="AG288" i="5"/>
  <c r="AG276" i="5"/>
  <c r="AG264" i="5"/>
  <c r="AG252" i="5"/>
  <c r="AG214" i="5"/>
  <c r="AG202" i="5"/>
  <c r="AG190" i="5"/>
  <c r="AG178" i="5"/>
  <c r="AG166" i="5"/>
  <c r="AG154" i="5"/>
  <c r="AG142" i="5"/>
  <c r="AG130" i="5"/>
  <c r="AG118" i="5"/>
  <c r="AG106" i="5"/>
  <c r="AG94" i="5"/>
  <c r="AG82" i="5"/>
  <c r="AG70" i="5"/>
  <c r="AG56" i="5"/>
  <c r="AG55" i="5"/>
  <c r="AG54" i="5"/>
  <c r="AG38" i="5"/>
  <c r="AG37" i="5"/>
  <c r="AG9" i="5"/>
  <c r="AG27" i="5"/>
  <c r="AG215" i="5"/>
  <c r="AG203" i="5"/>
  <c r="AG191" i="5"/>
  <c r="AG179" i="5"/>
  <c r="AG167" i="5"/>
  <c r="AG155" i="5"/>
  <c r="AG143" i="5"/>
  <c r="AG131" i="5"/>
  <c r="AG119" i="5"/>
  <c r="AG107" i="5"/>
  <c r="AG95" i="5"/>
  <c r="AG83" i="5"/>
  <c r="AG71" i="5"/>
  <c r="AG57" i="5"/>
  <c r="AG39" i="5"/>
  <c r="AG26" i="5"/>
  <c r="AG216" i="5"/>
  <c r="AG204" i="5"/>
  <c r="AG192" i="5"/>
  <c r="AG180" i="5"/>
  <c r="AG168" i="5"/>
  <c r="AG156" i="5"/>
  <c r="AG144" i="5"/>
  <c r="AG132" i="5"/>
  <c r="AG120" i="5"/>
  <c r="AG108" i="5"/>
  <c r="AG96" i="5"/>
  <c r="AG84" i="5"/>
  <c r="AG72" i="5"/>
  <c r="AG58" i="5"/>
  <c r="AG40" i="5"/>
  <c r="AG20" i="5"/>
  <c r="AG19" i="5"/>
  <c r="AG45" i="5"/>
  <c r="AG228" i="5"/>
  <c r="AG217" i="5"/>
  <c r="AG205" i="5"/>
  <c r="AG193" i="5"/>
  <c r="AG181" i="5"/>
  <c r="AG169" i="5"/>
  <c r="AG157" i="5"/>
  <c r="AG145" i="5"/>
  <c r="AG133" i="5"/>
  <c r="AG121" i="5"/>
  <c r="AG109" i="5"/>
  <c r="AG97" i="5"/>
  <c r="AG85" i="5"/>
  <c r="AG73" i="5"/>
  <c r="AG61" i="5"/>
  <c r="AG60" i="5"/>
  <c r="AG59" i="5"/>
  <c r="AG41" i="5"/>
  <c r="AG21" i="5"/>
  <c r="AG123" i="5"/>
  <c r="AG44" i="5"/>
  <c r="AG218" i="5"/>
  <c r="AG206" i="5"/>
  <c r="AG194" i="5"/>
  <c r="AG182" i="5"/>
  <c r="AG170" i="5"/>
  <c r="AG158" i="5"/>
  <c r="AG146" i="5"/>
  <c r="AG134" i="5"/>
  <c r="AG122" i="5"/>
  <c r="AG110" i="5"/>
  <c r="AG98" i="5"/>
  <c r="AG86" i="5"/>
  <c r="AG74" i="5"/>
  <c r="AG62" i="5"/>
  <c r="AG42" i="5"/>
  <c r="AG23" i="5"/>
  <c r="AG22" i="5"/>
  <c r="AG43" i="5"/>
  <c r="AG219" i="5"/>
  <c r="AG207" i="5"/>
  <c r="AG195" i="5"/>
  <c r="AG183" i="5"/>
  <c r="AG171" i="5"/>
  <c r="AG159" i="5"/>
  <c r="AG147" i="5"/>
  <c r="AG135" i="5"/>
  <c r="AG111" i="5"/>
  <c r="AG99" i="5"/>
  <c r="AG87" i="5"/>
  <c r="AG75" i="5"/>
  <c r="AG63" i="5"/>
  <c r="AG28" i="5"/>
  <c r="AG25" i="5"/>
  <c r="AG24" i="5"/>
  <c r="AG220" i="5"/>
  <c r="AG208" i="5"/>
  <c r="AG196" i="5"/>
  <c r="AG184" i="5"/>
  <c r="AG172" i="5"/>
  <c r="AG160" i="5"/>
  <c r="AG148" i="5"/>
  <c r="AG136" i="5"/>
  <c r="AG124" i="5"/>
  <c r="AG112" i="5"/>
  <c r="AG100" i="5"/>
  <c r="AG88" i="5"/>
  <c r="AG76" i="5"/>
  <c r="AG64" i="5"/>
  <c r="AG48" i="5"/>
  <c r="AG47" i="5"/>
  <c r="AG46" i="5"/>
  <c r="AG30" i="5"/>
  <c r="AG29" i="5"/>
  <c r="AG93" i="5"/>
  <c r="AG36" i="5"/>
  <c r="AG221" i="5"/>
  <c r="AG209" i="5"/>
  <c r="AG197" i="5"/>
  <c r="AG185" i="5"/>
  <c r="AG173" i="5"/>
  <c r="AG161" i="5"/>
  <c r="AG149" i="5"/>
  <c r="AG137" i="5"/>
  <c r="AG125" i="5"/>
  <c r="AG113" i="5"/>
  <c r="AG101" i="5"/>
  <c r="AG89" i="5"/>
  <c r="AG77" i="5"/>
  <c r="AG65" i="5"/>
  <c r="AG49" i="5"/>
  <c r="AG31" i="5"/>
  <c r="AG213" i="5"/>
  <c r="AG189" i="5"/>
  <c r="AG177" i="5"/>
  <c r="AG141" i="5"/>
  <c r="AG117" i="5"/>
  <c r="AG53" i="5"/>
  <c r="AG233" i="5"/>
  <c r="AG210" i="5"/>
  <c r="AG198" i="5"/>
  <c r="AG186" i="5"/>
  <c r="AG174" i="5"/>
  <c r="AG162" i="5"/>
  <c r="AG150" i="5"/>
  <c r="AG138" i="5"/>
  <c r="AG126" i="5"/>
  <c r="AG114" i="5"/>
  <c r="AG102" i="5"/>
  <c r="AG90" i="5"/>
  <c r="AG78" i="5"/>
  <c r="AG66" i="5"/>
  <c r="AG50" i="5"/>
  <c r="AG32" i="5"/>
  <c r="AG129" i="5"/>
  <c r="AG105" i="5"/>
  <c r="AG81" i="5"/>
  <c r="AG69" i="5"/>
  <c r="AG222" i="5"/>
  <c r="AG211" i="5"/>
  <c r="AG199" i="5"/>
  <c r="AG187" i="5"/>
  <c r="AG175" i="5"/>
  <c r="AG163" i="5"/>
  <c r="AG151" i="5"/>
  <c r="AG139" i="5"/>
  <c r="AG127" i="5"/>
  <c r="AG115" i="5"/>
  <c r="AG103" i="5"/>
  <c r="AG91" i="5"/>
  <c r="AG79" i="5"/>
  <c r="AG67" i="5"/>
  <c r="AG51" i="5"/>
  <c r="AG34" i="5"/>
  <c r="AG33" i="5"/>
  <c r="AG240" i="5"/>
  <c r="AG212" i="5"/>
  <c r="AG200" i="5"/>
  <c r="AG188" i="5"/>
  <c r="AG176" i="5"/>
  <c r="AG164" i="5"/>
  <c r="AG152" i="5"/>
  <c r="AG140" i="5"/>
  <c r="AG128" i="5"/>
  <c r="AG116" i="5"/>
  <c r="AG104" i="5"/>
  <c r="AG92" i="5"/>
  <c r="AG80" i="5"/>
  <c r="AG68" i="5"/>
  <c r="AG52" i="5"/>
  <c r="AG35" i="5"/>
  <c r="AG7" i="5"/>
  <c r="AG223" i="5"/>
  <c r="AG201" i="5"/>
  <c r="AG165" i="5"/>
  <c r="AG153" i="5"/>
  <c r="AG8" i="5"/>
  <c r="AL115" i="5"/>
  <c r="AK115" i="5"/>
  <c r="AK114" i="5"/>
  <c r="AL114" i="5"/>
  <c r="AL323" i="5"/>
  <c r="AK323" i="5"/>
  <c r="AL329" i="5"/>
  <c r="AK329" i="5"/>
  <c r="AL452" i="5"/>
  <c r="AK452" i="5"/>
  <c r="AL487" i="5"/>
  <c r="AK487" i="5"/>
  <c r="AL406" i="5"/>
  <c r="AK406" i="5"/>
  <c r="AK132" i="5"/>
  <c r="AL132" i="5"/>
  <c r="AL112" i="5"/>
  <c r="AK112" i="5"/>
  <c r="AK30" i="5"/>
  <c r="AL30" i="5"/>
  <c r="AK24" i="5"/>
  <c r="AL24" i="5"/>
  <c r="AL113" i="5"/>
  <c r="AK113" i="5"/>
  <c r="AL354" i="5"/>
  <c r="AK354" i="5"/>
  <c r="AL145" i="5"/>
  <c r="AK145" i="5"/>
  <c r="AK126" i="5"/>
  <c r="AL126" i="5"/>
  <c r="AL119" i="5"/>
  <c r="AK119" i="5"/>
  <c r="AL366" i="5"/>
  <c r="AK366" i="5"/>
  <c r="AL201" i="5"/>
  <c r="AK201" i="5"/>
  <c r="AL218" i="5"/>
  <c r="AK218" i="5"/>
  <c r="AK245" i="5"/>
  <c r="AL245" i="5"/>
  <c r="AL229" i="5"/>
  <c r="AK229" i="5"/>
  <c r="AL373" i="5"/>
  <c r="AK373" i="5"/>
  <c r="AL335" i="5"/>
  <c r="AK335" i="5"/>
  <c r="AL316" i="5"/>
  <c r="AK316" i="5"/>
  <c r="AL309" i="5"/>
  <c r="AK309" i="5"/>
  <c r="AL290" i="5"/>
  <c r="AK290" i="5"/>
  <c r="AL295" i="5"/>
  <c r="AK295" i="5"/>
  <c r="AL300" i="5"/>
  <c r="AK300" i="5"/>
  <c r="AL341" i="5"/>
  <c r="AK341" i="5"/>
  <c r="AL310" i="5"/>
  <c r="AK310" i="5"/>
  <c r="AK327" i="5"/>
  <c r="AL327" i="5"/>
  <c r="AK344" i="5"/>
  <c r="AL344" i="5"/>
  <c r="AL495" i="5"/>
  <c r="AK495" i="5"/>
  <c r="AL464" i="5"/>
  <c r="AK464" i="5"/>
  <c r="AL433" i="5"/>
  <c r="AK433" i="5"/>
  <c r="AL414" i="5"/>
  <c r="AK414" i="5"/>
  <c r="AL558" i="5"/>
  <c r="AK558" i="5"/>
  <c r="AL527" i="5"/>
  <c r="AK527" i="5"/>
  <c r="AL508" i="5"/>
  <c r="AK508" i="5"/>
  <c r="AL501" i="5"/>
  <c r="AK501" i="5"/>
  <c r="AL482" i="5"/>
  <c r="AK482" i="5"/>
  <c r="AL499" i="5"/>
  <c r="AK499" i="5"/>
  <c r="AL468" i="5"/>
  <c r="AK468" i="5"/>
  <c r="AK449" i="5"/>
  <c r="AL449" i="5"/>
  <c r="AL418" i="5"/>
  <c r="AK418" i="5"/>
  <c r="AL51" i="5"/>
  <c r="AK51" i="5"/>
  <c r="AL61" i="5"/>
  <c r="AK61" i="5"/>
  <c r="AL89" i="5"/>
  <c r="AK89" i="5"/>
  <c r="AL342" i="5"/>
  <c r="AK342" i="5"/>
  <c r="AK283" i="5"/>
  <c r="AL283" i="5"/>
  <c r="AK332" i="5"/>
  <c r="AL332" i="5"/>
  <c r="AL470" i="5"/>
  <c r="AK470" i="5"/>
  <c r="AK437" i="5"/>
  <c r="AL437" i="5"/>
  <c r="AL33" i="5"/>
  <c r="AK33" i="5"/>
  <c r="AL118" i="5"/>
  <c r="AK118" i="5"/>
  <c r="AK87" i="5"/>
  <c r="AL87" i="5"/>
  <c r="AL88" i="5"/>
  <c r="AK88" i="5"/>
  <c r="AL136" i="5"/>
  <c r="AK136" i="5"/>
  <c r="AL52" i="5"/>
  <c r="AK52" i="5"/>
  <c r="AL166" i="5"/>
  <c r="AK166" i="5"/>
  <c r="AK26" i="5"/>
  <c r="AL26" i="5"/>
  <c r="AL125" i="5"/>
  <c r="AK125" i="5"/>
  <c r="AL378" i="5"/>
  <c r="AK378" i="5"/>
  <c r="AL157" i="5"/>
  <c r="AK157" i="5"/>
  <c r="AK138" i="5"/>
  <c r="AL138" i="5"/>
  <c r="AK131" i="5"/>
  <c r="AL131" i="5"/>
  <c r="AL390" i="5"/>
  <c r="AK390" i="5"/>
  <c r="AL213" i="5"/>
  <c r="AK213" i="5"/>
  <c r="AK236" i="5"/>
  <c r="AL236" i="5"/>
  <c r="AL258" i="5"/>
  <c r="AK258" i="5"/>
  <c r="AL241" i="5"/>
  <c r="AK241" i="5"/>
  <c r="AL385" i="5"/>
  <c r="AK385" i="5"/>
  <c r="AL347" i="5"/>
  <c r="AK347" i="5"/>
  <c r="AL328" i="5"/>
  <c r="AK328" i="5"/>
  <c r="AL321" i="5"/>
  <c r="AK321" i="5"/>
  <c r="AL302" i="5"/>
  <c r="AK302" i="5"/>
  <c r="AL307" i="5"/>
  <c r="AK307" i="5"/>
  <c r="AL312" i="5"/>
  <c r="AK312" i="5"/>
  <c r="AL353" i="5"/>
  <c r="AK353" i="5"/>
  <c r="AL322" i="5"/>
  <c r="AK322" i="5"/>
  <c r="AK339" i="5"/>
  <c r="AL339" i="5"/>
  <c r="AK356" i="5"/>
  <c r="AL356" i="5"/>
  <c r="AL507" i="5"/>
  <c r="AK507" i="5"/>
  <c r="AL476" i="5"/>
  <c r="AK476" i="5"/>
  <c r="AL445" i="5"/>
  <c r="AK445" i="5"/>
  <c r="AL426" i="5"/>
  <c r="AK426" i="5"/>
  <c r="AK395" i="5"/>
  <c r="AL395" i="5"/>
  <c r="AL539" i="5"/>
  <c r="AK539" i="5"/>
  <c r="AL520" i="5"/>
  <c r="AK520" i="5"/>
  <c r="AL513" i="5"/>
  <c r="AK513" i="5"/>
  <c r="AL494" i="5"/>
  <c r="AK494" i="5"/>
  <c r="AL511" i="5"/>
  <c r="AK511" i="5"/>
  <c r="AL480" i="5"/>
  <c r="AK480" i="5"/>
  <c r="AK461" i="5"/>
  <c r="AL461" i="5"/>
  <c r="AL430" i="5"/>
  <c r="AK430" i="5"/>
  <c r="AL85" i="5"/>
  <c r="AK85" i="5"/>
  <c r="AL32" i="5"/>
  <c r="AK32" i="5"/>
  <c r="AL129" i="5"/>
  <c r="AK129" i="5"/>
  <c r="AK107" i="5"/>
  <c r="AL107" i="5"/>
  <c r="AL304" i="5"/>
  <c r="AK304" i="5"/>
  <c r="AL298" i="5"/>
  <c r="AK298" i="5"/>
  <c r="AL515" i="5"/>
  <c r="AK515" i="5"/>
  <c r="AL456" i="5"/>
  <c r="AK456" i="5"/>
  <c r="AL550" i="5"/>
  <c r="AK550" i="5"/>
  <c r="AL76" i="5"/>
  <c r="AK76" i="5"/>
  <c r="AL140" i="5"/>
  <c r="AK140" i="5"/>
  <c r="AL130" i="5"/>
  <c r="AK130" i="5"/>
  <c r="AL148" i="5"/>
  <c r="AK148" i="5"/>
  <c r="AK144" i="5"/>
  <c r="AL144" i="5"/>
  <c r="AK99" i="5"/>
  <c r="AL99" i="5"/>
  <c r="AK37" i="5"/>
  <c r="AL37" i="5"/>
  <c r="AL139" i="5"/>
  <c r="AK139" i="5"/>
  <c r="AL8" i="5"/>
  <c r="AK8" i="5"/>
  <c r="AL246" i="5"/>
  <c r="AK246" i="5"/>
  <c r="AL25" i="5"/>
  <c r="AK25" i="5"/>
  <c r="AL70" i="5"/>
  <c r="AK70" i="5"/>
  <c r="AL109" i="5"/>
  <c r="AK109" i="5"/>
  <c r="AL178" i="5"/>
  <c r="AK178" i="5"/>
  <c r="AK46" i="5"/>
  <c r="AL46" i="5"/>
  <c r="AK28" i="5"/>
  <c r="AL28" i="5"/>
  <c r="AL137" i="5"/>
  <c r="AK137" i="5"/>
  <c r="AL152" i="5"/>
  <c r="AK152" i="5"/>
  <c r="AL169" i="5"/>
  <c r="AK169" i="5"/>
  <c r="AK150" i="5"/>
  <c r="AL150" i="5"/>
  <c r="AK143" i="5"/>
  <c r="AL143" i="5"/>
  <c r="AL160" i="5"/>
  <c r="AK160" i="5"/>
  <c r="AL225" i="5"/>
  <c r="AK225" i="5"/>
  <c r="AK248" i="5"/>
  <c r="AL248" i="5"/>
  <c r="AL270" i="5"/>
  <c r="AK270" i="5"/>
  <c r="AL253" i="5"/>
  <c r="AK253" i="5"/>
  <c r="AL393" i="5"/>
  <c r="AK393" i="5"/>
  <c r="AL359" i="5"/>
  <c r="AK359" i="5"/>
  <c r="AL340" i="5"/>
  <c r="AK340" i="5"/>
  <c r="AL333" i="5"/>
  <c r="AK333" i="5"/>
  <c r="AL314" i="5"/>
  <c r="AK314" i="5"/>
  <c r="AL319" i="5"/>
  <c r="AK319" i="5"/>
  <c r="AL324" i="5"/>
  <c r="AK324" i="5"/>
  <c r="AL365" i="5"/>
  <c r="AK365" i="5"/>
  <c r="AL334" i="5"/>
  <c r="AK334" i="5"/>
  <c r="AK351" i="5"/>
  <c r="AL351" i="5"/>
  <c r="AK368" i="5"/>
  <c r="AL368" i="5"/>
  <c r="AL519" i="5"/>
  <c r="AK519" i="5"/>
  <c r="AL488" i="5"/>
  <c r="AK488" i="5"/>
  <c r="AL457" i="5"/>
  <c r="AK457" i="5"/>
  <c r="AL438" i="5"/>
  <c r="AK438" i="5"/>
  <c r="AK407" i="5"/>
  <c r="AL407" i="5"/>
  <c r="AL551" i="5"/>
  <c r="AK551" i="5"/>
  <c r="AL532" i="5"/>
  <c r="AK532" i="5"/>
  <c r="AL525" i="5"/>
  <c r="AK525" i="5"/>
  <c r="AL506" i="5"/>
  <c r="AK506" i="5"/>
  <c r="AL523" i="5"/>
  <c r="AK523" i="5"/>
  <c r="AL492" i="5"/>
  <c r="AK492" i="5"/>
  <c r="AK473" i="5"/>
  <c r="AL473" i="5"/>
  <c r="AL442" i="5"/>
  <c r="AK442" i="5"/>
  <c r="AL128" i="5"/>
  <c r="AK128" i="5"/>
  <c r="AL81" i="5"/>
  <c r="AK81" i="5"/>
  <c r="AL288" i="5"/>
  <c r="AK288" i="5"/>
  <c r="AL190" i="5"/>
  <c r="AK190" i="5"/>
  <c r="AL172" i="5"/>
  <c r="AK172" i="5"/>
  <c r="AL282" i="5"/>
  <c r="AK282" i="5"/>
  <c r="AL227" i="5"/>
  <c r="AK227" i="5"/>
  <c r="AL371" i="5"/>
  <c r="AK371" i="5"/>
  <c r="AL352" i="5"/>
  <c r="AK352" i="5"/>
  <c r="AL345" i="5"/>
  <c r="AK345" i="5"/>
  <c r="AL326" i="5"/>
  <c r="AK326" i="5"/>
  <c r="AL331" i="5"/>
  <c r="AK331" i="5"/>
  <c r="AL336" i="5"/>
  <c r="AK336" i="5"/>
  <c r="AL377" i="5"/>
  <c r="AK377" i="5"/>
  <c r="AL346" i="5"/>
  <c r="AK346" i="5"/>
  <c r="AK363" i="5"/>
  <c r="AL363" i="5"/>
  <c r="AK380" i="5"/>
  <c r="AL380" i="5"/>
  <c r="AL531" i="5"/>
  <c r="AK531" i="5"/>
  <c r="AL500" i="5"/>
  <c r="AK500" i="5"/>
  <c r="AL469" i="5"/>
  <c r="AK469" i="5"/>
  <c r="AL450" i="5"/>
  <c r="AK450" i="5"/>
  <c r="AL419" i="5"/>
  <c r="AK419" i="5"/>
  <c r="AL400" i="5"/>
  <c r="AK400" i="5"/>
  <c r="AL544" i="5"/>
  <c r="AK544" i="5"/>
  <c r="AL537" i="5"/>
  <c r="AK537" i="5"/>
  <c r="AL518" i="5"/>
  <c r="AK518" i="5"/>
  <c r="AL535" i="5"/>
  <c r="AK535" i="5"/>
  <c r="AL504" i="5"/>
  <c r="AK504" i="5"/>
  <c r="AK485" i="5"/>
  <c r="AL485" i="5"/>
  <c r="AL454" i="5"/>
  <c r="AK454" i="5"/>
  <c r="AK120" i="5"/>
  <c r="AL120" i="5"/>
  <c r="AL171" i="5"/>
  <c r="AK171" i="5"/>
  <c r="AL101" i="5"/>
  <c r="AK101" i="5"/>
  <c r="AK249" i="5"/>
  <c r="AL249" i="5"/>
  <c r="AL483" i="5"/>
  <c r="AK483" i="5"/>
  <c r="AL147" i="5"/>
  <c r="AK147" i="5"/>
  <c r="AL27" i="5"/>
  <c r="AK27" i="5"/>
  <c r="AL181" i="5"/>
  <c r="AK181" i="5"/>
  <c r="AL155" i="5"/>
  <c r="AK155" i="5"/>
  <c r="AL265" i="5"/>
  <c r="AK265" i="5"/>
  <c r="AM559" i="5"/>
  <c r="AM547" i="5"/>
  <c r="AM535" i="5"/>
  <c r="AM523" i="5"/>
  <c r="AM511" i="5"/>
  <c r="AM499" i="5"/>
  <c r="AM487" i="5"/>
  <c r="AM475" i="5"/>
  <c r="AM463" i="5"/>
  <c r="AM451" i="5"/>
  <c r="AM439" i="5"/>
  <c r="AM427" i="5"/>
  <c r="AM415" i="5"/>
  <c r="AM403" i="5"/>
  <c r="AM554" i="5"/>
  <c r="AM542" i="5"/>
  <c r="AM530" i="5"/>
  <c r="AM518" i="5"/>
  <c r="AM506" i="5"/>
  <c r="AM494" i="5"/>
  <c r="AM482" i="5"/>
  <c r="AM470" i="5"/>
  <c r="AM458" i="5"/>
  <c r="AM446" i="5"/>
  <c r="AM434" i="5"/>
  <c r="AM422" i="5"/>
  <c r="AM410" i="5"/>
  <c r="AM398" i="5"/>
  <c r="AM549" i="5"/>
  <c r="AM537" i="5"/>
  <c r="AM525" i="5"/>
  <c r="AM513" i="5"/>
  <c r="AM501" i="5"/>
  <c r="AM489" i="5"/>
  <c r="AM477" i="5"/>
  <c r="AM465" i="5"/>
  <c r="AM453" i="5"/>
  <c r="AM441" i="5"/>
  <c r="AM429" i="5"/>
  <c r="AM417" i="5"/>
  <c r="AM405" i="5"/>
  <c r="AM556" i="5"/>
  <c r="AM544" i="5"/>
  <c r="AM532" i="5"/>
  <c r="AM520" i="5"/>
  <c r="AM508" i="5"/>
  <c r="AM496" i="5"/>
  <c r="AM484" i="5"/>
  <c r="AM472" i="5"/>
  <c r="AM460" i="5"/>
  <c r="AM448" i="5"/>
  <c r="AM551" i="5"/>
  <c r="AM539" i="5"/>
  <c r="AM527" i="5"/>
  <c r="AM515" i="5"/>
  <c r="AM503" i="5"/>
  <c r="AM491" i="5"/>
  <c r="AM479" i="5"/>
  <c r="AM467" i="5"/>
  <c r="AM455" i="5"/>
  <c r="AM443" i="5"/>
  <c r="AM431" i="5"/>
  <c r="AM419" i="5"/>
  <c r="AM407" i="5"/>
  <c r="AM558" i="5"/>
  <c r="AM546" i="5"/>
  <c r="AM534" i="5"/>
  <c r="AM522" i="5"/>
  <c r="AM510" i="5"/>
  <c r="AM498" i="5"/>
  <c r="AM486" i="5"/>
  <c r="AM474" i="5"/>
  <c r="AM462" i="5"/>
  <c r="AM450" i="5"/>
  <c r="AM438" i="5"/>
  <c r="AM426" i="5"/>
  <c r="AM553" i="5"/>
  <c r="AM541" i="5"/>
  <c r="AM529" i="5"/>
  <c r="AM517" i="5"/>
  <c r="AM505" i="5"/>
  <c r="AM493" i="5"/>
  <c r="AM481" i="5"/>
  <c r="AM469" i="5"/>
  <c r="AM457" i="5"/>
  <c r="AM445" i="5"/>
  <c r="AM433" i="5"/>
  <c r="AM421" i="5"/>
  <c r="AM409" i="5"/>
  <c r="AM397" i="5"/>
  <c r="AM560" i="5"/>
  <c r="AM548" i="5"/>
  <c r="AM536" i="5"/>
  <c r="AM524" i="5"/>
  <c r="AM512" i="5"/>
  <c r="AM500" i="5"/>
  <c r="AM488" i="5"/>
  <c r="AM476" i="5"/>
  <c r="AM464" i="5"/>
  <c r="AM452" i="5"/>
  <c r="AM440" i="5"/>
  <c r="AM428" i="5"/>
  <c r="AM416" i="5"/>
  <c r="AM404" i="5"/>
  <c r="AM392" i="5"/>
  <c r="AM555" i="5"/>
  <c r="AM543" i="5"/>
  <c r="AM531" i="5"/>
  <c r="AM519" i="5"/>
  <c r="AM507" i="5"/>
  <c r="AM495" i="5"/>
  <c r="AM483" i="5"/>
  <c r="AM471" i="5"/>
  <c r="AM459" i="5"/>
  <c r="AM447" i="5"/>
  <c r="AM435" i="5"/>
  <c r="AM423" i="5"/>
  <c r="AM411" i="5"/>
  <c r="AM399" i="5"/>
  <c r="AM550" i="5"/>
  <c r="AM538" i="5"/>
  <c r="AM526" i="5"/>
  <c r="AM514" i="5"/>
  <c r="AM502" i="5"/>
  <c r="AM490" i="5"/>
  <c r="AM478" i="5"/>
  <c r="AM466" i="5"/>
  <c r="AM454" i="5"/>
  <c r="AM442" i="5"/>
  <c r="AM430" i="5"/>
  <c r="AM418" i="5"/>
  <c r="AM406" i="5"/>
  <c r="AM394" i="5"/>
  <c r="AM557" i="5"/>
  <c r="AM545" i="5"/>
  <c r="AM533" i="5"/>
  <c r="AM521" i="5"/>
  <c r="AM509" i="5"/>
  <c r="AM497" i="5"/>
  <c r="AM485" i="5"/>
  <c r="AM473" i="5"/>
  <c r="AM461" i="5"/>
  <c r="AM449" i="5"/>
  <c r="AM437" i="5"/>
  <c r="AM425" i="5"/>
  <c r="AM413" i="5"/>
  <c r="AM401" i="5"/>
  <c r="AM552" i="5"/>
  <c r="AM540" i="5"/>
  <c r="AM528" i="5"/>
  <c r="AM516" i="5"/>
  <c r="AM504" i="5"/>
  <c r="AM492" i="5"/>
  <c r="AM480" i="5"/>
  <c r="AM468" i="5"/>
  <c r="AM456" i="5"/>
  <c r="AM444" i="5"/>
  <c r="AM432" i="5"/>
  <c r="AM420" i="5"/>
  <c r="AM408" i="5"/>
  <c r="AM396" i="5"/>
  <c r="AM389" i="5"/>
  <c r="AM377" i="5"/>
  <c r="AM365" i="5"/>
  <c r="AM353" i="5"/>
  <c r="AM341" i="5"/>
  <c r="AM329" i="5"/>
  <c r="AM317" i="5"/>
  <c r="AM305" i="5"/>
  <c r="AM293" i="5"/>
  <c r="AM281" i="5"/>
  <c r="AM269" i="5"/>
  <c r="AM436" i="5"/>
  <c r="AM384" i="5"/>
  <c r="AM372" i="5"/>
  <c r="AM360" i="5"/>
  <c r="AM348" i="5"/>
  <c r="AM336" i="5"/>
  <c r="AM324" i="5"/>
  <c r="AM312" i="5"/>
  <c r="AM300" i="5"/>
  <c r="AM288" i="5"/>
  <c r="AM276" i="5"/>
  <c r="AM391" i="5"/>
  <c r="AM379" i="5"/>
  <c r="AM367" i="5"/>
  <c r="AM355" i="5"/>
  <c r="AM343" i="5"/>
  <c r="AM331" i="5"/>
  <c r="AM319" i="5"/>
  <c r="AM307" i="5"/>
  <c r="AM295" i="5"/>
  <c r="AM283" i="5"/>
  <c r="AM271" i="5"/>
  <c r="AM259" i="5"/>
  <c r="AM412" i="5"/>
  <c r="AM400" i="5"/>
  <c r="AM386" i="5"/>
  <c r="AM374" i="5"/>
  <c r="AM362" i="5"/>
  <c r="AM350" i="5"/>
  <c r="AM338" i="5"/>
  <c r="AM326" i="5"/>
  <c r="AM314" i="5"/>
  <c r="AM302" i="5"/>
  <c r="AM290" i="5"/>
  <c r="AM414" i="5"/>
  <c r="AM402" i="5"/>
  <c r="AM381" i="5"/>
  <c r="AM369" i="5"/>
  <c r="AM357" i="5"/>
  <c r="AM345" i="5"/>
  <c r="AM333" i="5"/>
  <c r="AM321" i="5"/>
  <c r="AM309" i="5"/>
  <c r="AM297" i="5"/>
  <c r="AM285" i="5"/>
  <c r="AM273" i="5"/>
  <c r="AM395" i="5"/>
  <c r="AM388" i="5"/>
  <c r="AM376" i="5"/>
  <c r="AM364" i="5"/>
  <c r="AM352" i="5"/>
  <c r="AM340" i="5"/>
  <c r="AM328" i="5"/>
  <c r="AM316" i="5"/>
  <c r="AM304" i="5"/>
  <c r="AM292" i="5"/>
  <c r="AM280" i="5"/>
  <c r="AM268" i="5"/>
  <c r="AM256" i="5"/>
  <c r="AM383" i="5"/>
  <c r="AM371" i="5"/>
  <c r="AM359" i="5"/>
  <c r="AM347" i="5"/>
  <c r="AM335" i="5"/>
  <c r="AM323" i="5"/>
  <c r="AM311" i="5"/>
  <c r="AM299" i="5"/>
  <c r="AM287" i="5"/>
  <c r="AM275" i="5"/>
  <c r="AM263" i="5"/>
  <c r="AM251" i="5"/>
  <c r="AM239" i="5"/>
  <c r="AM227" i="5"/>
  <c r="AM424" i="5"/>
  <c r="AM390" i="5"/>
  <c r="AM378" i="5"/>
  <c r="AM366" i="5"/>
  <c r="AM354" i="5"/>
  <c r="AM342" i="5"/>
  <c r="AM330" i="5"/>
  <c r="AM318" i="5"/>
  <c r="AM306" i="5"/>
  <c r="AM294" i="5"/>
  <c r="AM282" i="5"/>
  <c r="AM270" i="5"/>
  <c r="AM258" i="5"/>
  <c r="AM393" i="5"/>
  <c r="AM385" i="5"/>
  <c r="AM373" i="5"/>
  <c r="AM361" i="5"/>
  <c r="AM349" i="5"/>
  <c r="AM337" i="5"/>
  <c r="AM325" i="5"/>
  <c r="AM313" i="5"/>
  <c r="AM301" i="5"/>
  <c r="AM289" i="5"/>
  <c r="AM277" i="5"/>
  <c r="AM265" i="5"/>
  <c r="AM253" i="5"/>
  <c r="AM241" i="5"/>
  <c r="AM229" i="5"/>
  <c r="AM380" i="5"/>
  <c r="AM368" i="5"/>
  <c r="AM356" i="5"/>
  <c r="AM344" i="5"/>
  <c r="AM332" i="5"/>
  <c r="AM320" i="5"/>
  <c r="AM308" i="5"/>
  <c r="AM296" i="5"/>
  <c r="AM284" i="5"/>
  <c r="AM272" i="5"/>
  <c r="AM260" i="5"/>
  <c r="AM248" i="5"/>
  <c r="AM236" i="5"/>
  <c r="AM382" i="5"/>
  <c r="AM370" i="5"/>
  <c r="AM358" i="5"/>
  <c r="AM346" i="5"/>
  <c r="AM334" i="5"/>
  <c r="AM322" i="5"/>
  <c r="AM310" i="5"/>
  <c r="AM298" i="5"/>
  <c r="AM286" i="5"/>
  <c r="AM274" i="5"/>
  <c r="AM262" i="5"/>
  <c r="AM250" i="5"/>
  <c r="AM238" i="5"/>
  <c r="AM226" i="5"/>
  <c r="AM252" i="5"/>
  <c r="AM240" i="5"/>
  <c r="AM228" i="5"/>
  <c r="AM225" i="5"/>
  <c r="AM213" i="5"/>
  <c r="AM201" i="5"/>
  <c r="AM189" i="5"/>
  <c r="AM177" i="5"/>
  <c r="AM165" i="5"/>
  <c r="AM153" i="5"/>
  <c r="AM220" i="5"/>
  <c r="AM208" i="5"/>
  <c r="AM196" i="5"/>
  <c r="AM184" i="5"/>
  <c r="AM172" i="5"/>
  <c r="AM279" i="5"/>
  <c r="AM278" i="5"/>
  <c r="AM267" i="5"/>
  <c r="AM257" i="5"/>
  <c r="AM215" i="5"/>
  <c r="AM203" i="5"/>
  <c r="AM191" i="5"/>
  <c r="AM179" i="5"/>
  <c r="AM167" i="5"/>
  <c r="AM155" i="5"/>
  <c r="AM244" i="5"/>
  <c r="AM232" i="5"/>
  <c r="AM222" i="5"/>
  <c r="AM210" i="5"/>
  <c r="AM198" i="5"/>
  <c r="AM186" i="5"/>
  <c r="AM174" i="5"/>
  <c r="AM162" i="5"/>
  <c r="AM387" i="5"/>
  <c r="AM363" i="5"/>
  <c r="AM339" i="5"/>
  <c r="AM315" i="5"/>
  <c r="AM291" i="5"/>
  <c r="AM266" i="5"/>
  <c r="AM247" i="5"/>
  <c r="AM243" i="5"/>
  <c r="AM235" i="5"/>
  <c r="AM231" i="5"/>
  <c r="AM217" i="5"/>
  <c r="AM205" i="5"/>
  <c r="AM193" i="5"/>
  <c r="AM181" i="5"/>
  <c r="AM169" i="5"/>
  <c r="AM157" i="5"/>
  <c r="AM264" i="5"/>
  <c r="AM255" i="5"/>
  <c r="AM224" i="5"/>
  <c r="AM212" i="5"/>
  <c r="AM200" i="5"/>
  <c r="AM188" i="5"/>
  <c r="AM176" i="5"/>
  <c r="AM164" i="5"/>
  <c r="AM152" i="5"/>
  <c r="AM140" i="5"/>
  <c r="AM128" i="5"/>
  <c r="AM116" i="5"/>
  <c r="AM104" i="5"/>
  <c r="AM219" i="5"/>
  <c r="AM207" i="5"/>
  <c r="AM195" i="5"/>
  <c r="AM183" i="5"/>
  <c r="AM171" i="5"/>
  <c r="AM159" i="5"/>
  <c r="AM147" i="5"/>
  <c r="AM135" i="5"/>
  <c r="AM123" i="5"/>
  <c r="AM111" i="5"/>
  <c r="AM214" i="5"/>
  <c r="AM202" i="5"/>
  <c r="AM190" i="5"/>
  <c r="AM178" i="5"/>
  <c r="AM166" i="5"/>
  <c r="AM154" i="5"/>
  <c r="AM142" i="5"/>
  <c r="AM254" i="5"/>
  <c r="AM246" i="5"/>
  <c r="AM242" i="5"/>
  <c r="AM234" i="5"/>
  <c r="AM230" i="5"/>
  <c r="AM221" i="5"/>
  <c r="AM209" i="5"/>
  <c r="AM197" i="5"/>
  <c r="AM185" i="5"/>
  <c r="AM173" i="5"/>
  <c r="AM161" i="5"/>
  <c r="AM149" i="5"/>
  <c r="AM218" i="5"/>
  <c r="AM206" i="5"/>
  <c r="AM194" i="5"/>
  <c r="AM182" i="5"/>
  <c r="AM170" i="5"/>
  <c r="AM158" i="5"/>
  <c r="AM146" i="5"/>
  <c r="AM134" i="5"/>
  <c r="AM122" i="5"/>
  <c r="AM110" i="5"/>
  <c r="AM375" i="5"/>
  <c r="AM130" i="5"/>
  <c r="AM127" i="5"/>
  <c r="AM120" i="5"/>
  <c r="AM113" i="5"/>
  <c r="AM106" i="5"/>
  <c r="AM103" i="5"/>
  <c r="AM92" i="5"/>
  <c r="AM80" i="5"/>
  <c r="AM68" i="5"/>
  <c r="AM50" i="5"/>
  <c r="AM32" i="5"/>
  <c r="AM19" i="5"/>
  <c r="AM9" i="5"/>
  <c r="AM138" i="5"/>
  <c r="AM99" i="5"/>
  <c r="AM87" i="5"/>
  <c r="AM75" i="5"/>
  <c r="AM63" i="5"/>
  <c r="AM41" i="5"/>
  <c r="AM34" i="5"/>
  <c r="AM21" i="5"/>
  <c r="AM351" i="5"/>
  <c r="AM261" i="5"/>
  <c r="AM216" i="5"/>
  <c r="AM204" i="5"/>
  <c r="AM223" i="5"/>
  <c r="AM211" i="5"/>
  <c r="AM199" i="5"/>
  <c r="AM187" i="5"/>
  <c r="AM175" i="5"/>
  <c r="AM163" i="5"/>
  <c r="AM151" i="5"/>
  <c r="AM112" i="5"/>
  <c r="AM109" i="5"/>
  <c r="AM89" i="5"/>
  <c r="AM77" i="5"/>
  <c r="AM65" i="5"/>
  <c r="AM56" i="5"/>
  <c r="AM54" i="5"/>
  <c r="AM45" i="5"/>
  <c r="AM43" i="5"/>
  <c r="AM327" i="5"/>
  <c r="AM160" i="5"/>
  <c r="AM145" i="5"/>
  <c r="AM133" i="5"/>
  <c r="AM129" i="5"/>
  <c r="AM126" i="5"/>
  <c r="AM119" i="5"/>
  <c r="AM105" i="5"/>
  <c r="AM102" i="5"/>
  <c r="AM96" i="5"/>
  <c r="AM84" i="5"/>
  <c r="AM72" i="5"/>
  <c r="AM47" i="5"/>
  <c r="AM38" i="5"/>
  <c r="AM29" i="5"/>
  <c r="O12" i="5"/>
  <c r="AM233" i="5"/>
  <c r="AM150" i="5"/>
  <c r="AM144" i="5"/>
  <c r="AM136" i="5"/>
  <c r="AM91" i="5"/>
  <c r="AM79" i="5"/>
  <c r="AM67" i="5"/>
  <c r="AM60" i="5"/>
  <c r="AM58" i="5"/>
  <c r="AM49" i="5"/>
  <c r="AM303" i="5"/>
  <c r="AM237" i="5"/>
  <c r="AM132" i="5"/>
  <c r="AM125" i="5"/>
  <c r="AM118" i="5"/>
  <c r="AM115" i="5"/>
  <c r="AM108" i="5"/>
  <c r="AM101" i="5"/>
  <c r="AM98" i="5"/>
  <c r="AM86" i="5"/>
  <c r="AM74" i="5"/>
  <c r="AM62" i="5"/>
  <c r="AM40" i="5"/>
  <c r="AM20" i="5"/>
  <c r="AM156" i="5"/>
  <c r="AM148" i="5"/>
  <c r="AM93" i="5"/>
  <c r="AM81" i="5"/>
  <c r="AM69" i="5"/>
  <c r="AM51" i="5"/>
  <c r="AM33" i="5"/>
  <c r="AM88" i="5"/>
  <c r="AM76" i="5"/>
  <c r="AM64" i="5"/>
  <c r="AM42" i="5"/>
  <c r="AM35" i="5"/>
  <c r="AM22" i="5"/>
  <c r="AM245" i="5"/>
  <c r="AM143" i="5"/>
  <c r="AM139" i="5"/>
  <c r="AM124" i="5"/>
  <c r="AM121" i="5"/>
  <c r="AM100" i="5"/>
  <c r="AM95" i="5"/>
  <c r="AM83" i="5"/>
  <c r="AM71" i="5"/>
  <c r="AM55" i="5"/>
  <c r="AM53" i="5"/>
  <c r="AM44" i="5"/>
  <c r="AM28" i="5"/>
  <c r="AM26" i="5"/>
  <c r="AM24" i="5"/>
  <c r="AM97" i="5"/>
  <c r="AM85" i="5"/>
  <c r="AM73" i="5"/>
  <c r="AM61" i="5"/>
  <c r="AM59" i="5"/>
  <c r="AM39" i="5"/>
  <c r="AM57" i="5"/>
  <c r="AM114" i="5"/>
  <c r="AM117" i="5"/>
  <c r="AM52" i="5"/>
  <c r="AM48" i="5"/>
  <c r="AM37" i="5"/>
  <c r="AM168" i="5"/>
  <c r="AM78" i="5"/>
  <c r="AM36" i="5"/>
  <c r="AM27" i="5"/>
  <c r="AM82" i="5"/>
  <c r="AM70" i="5"/>
  <c r="AM31" i="5"/>
  <c r="AM180" i="5"/>
  <c r="AM131" i="5"/>
  <c r="AM8" i="5"/>
  <c r="AM7" i="5"/>
  <c r="AM137" i="5"/>
  <c r="AM46" i="5"/>
  <c r="AM249" i="5"/>
  <c r="AM141" i="5"/>
  <c r="AM25" i="5"/>
  <c r="AM94" i="5"/>
  <c r="AM66" i="5"/>
  <c r="AM30" i="5"/>
  <c r="AM23" i="5"/>
  <c r="AM192" i="5"/>
  <c r="AM90" i="5"/>
  <c r="AM107" i="5"/>
  <c r="AL154" i="5"/>
  <c r="AK154" i="5"/>
  <c r="AL49" i="5"/>
  <c r="AK49" i="5"/>
  <c r="AK38" i="5"/>
  <c r="AL38" i="5"/>
  <c r="AL36" i="5"/>
  <c r="AK36" i="5"/>
  <c r="AL94" i="5"/>
  <c r="AK94" i="5"/>
  <c r="AK151" i="5"/>
  <c r="AL151" i="5"/>
  <c r="AL202" i="5"/>
  <c r="AK202" i="5"/>
  <c r="AK57" i="5"/>
  <c r="AL57" i="5"/>
  <c r="AK53" i="5"/>
  <c r="AL53" i="5"/>
  <c r="AL161" i="5"/>
  <c r="AK161" i="5"/>
  <c r="AL176" i="5"/>
  <c r="AK176" i="5"/>
  <c r="AL193" i="5"/>
  <c r="AK193" i="5"/>
  <c r="AL174" i="5"/>
  <c r="AK174" i="5"/>
  <c r="AL167" i="5"/>
  <c r="AK167" i="5"/>
  <c r="AL184" i="5"/>
  <c r="AK184" i="5"/>
  <c r="AL240" i="5"/>
  <c r="AK240" i="5"/>
  <c r="AL281" i="5"/>
  <c r="AK281" i="5"/>
  <c r="AK156" i="5"/>
  <c r="AL156" i="5"/>
  <c r="AL277" i="5"/>
  <c r="AK277" i="5"/>
  <c r="AK239" i="5"/>
  <c r="AL239" i="5"/>
  <c r="AL383" i="5"/>
  <c r="AK383" i="5"/>
  <c r="AL364" i="5"/>
  <c r="AK364" i="5"/>
  <c r="AL357" i="5"/>
  <c r="AK357" i="5"/>
  <c r="AL338" i="5"/>
  <c r="AK338" i="5"/>
  <c r="AL343" i="5"/>
  <c r="AK343" i="5"/>
  <c r="AL348" i="5"/>
  <c r="AK348" i="5"/>
  <c r="AL389" i="5"/>
  <c r="AK389" i="5"/>
  <c r="AL358" i="5"/>
  <c r="AK358" i="5"/>
  <c r="AK375" i="5"/>
  <c r="AL375" i="5"/>
  <c r="AL399" i="5"/>
  <c r="AK399" i="5"/>
  <c r="AL543" i="5"/>
  <c r="AK543" i="5"/>
  <c r="AL512" i="5"/>
  <c r="AK512" i="5"/>
  <c r="AL481" i="5"/>
  <c r="AK481" i="5"/>
  <c r="AL462" i="5"/>
  <c r="AK462" i="5"/>
  <c r="AL431" i="5"/>
  <c r="AK431" i="5"/>
  <c r="AL412" i="5"/>
  <c r="AK412" i="5"/>
  <c r="AL556" i="5"/>
  <c r="AK556" i="5"/>
  <c r="AL549" i="5"/>
  <c r="AK549" i="5"/>
  <c r="AL530" i="5"/>
  <c r="AK530" i="5"/>
  <c r="AL547" i="5"/>
  <c r="AK547" i="5"/>
  <c r="AL516" i="5"/>
  <c r="AK516" i="5"/>
  <c r="AK497" i="5"/>
  <c r="AL497" i="5"/>
  <c r="AL466" i="5"/>
  <c r="AK466" i="5"/>
  <c r="AL9" i="5"/>
  <c r="AK9" i="5"/>
  <c r="AL103" i="5"/>
  <c r="AK103" i="5"/>
  <c r="AK7" i="5"/>
  <c r="AL7" i="5"/>
  <c r="AK233" i="5"/>
  <c r="AL233" i="5"/>
  <c r="AL402" i="5"/>
  <c r="AK402" i="5"/>
  <c r="AL31" i="5"/>
  <c r="AK31" i="5"/>
  <c r="AL149" i="5"/>
  <c r="AK149" i="5"/>
  <c r="AL228" i="5"/>
  <c r="AK228" i="5"/>
  <c r="AL20" i="5"/>
  <c r="AK20" i="5"/>
  <c r="AL58" i="5"/>
  <c r="AK58" i="5"/>
  <c r="AK47" i="5"/>
  <c r="AL47" i="5"/>
  <c r="AL43" i="5"/>
  <c r="AK43" i="5"/>
  <c r="AL141" i="5"/>
  <c r="AK141" i="5"/>
  <c r="AL234" i="5"/>
  <c r="AK234" i="5"/>
  <c r="AL214" i="5"/>
  <c r="AK214" i="5"/>
  <c r="AK66" i="5"/>
  <c r="AL66" i="5"/>
  <c r="AK55" i="5"/>
  <c r="AL55" i="5"/>
  <c r="AK173" i="5"/>
  <c r="AL173" i="5"/>
  <c r="AL188" i="5"/>
  <c r="AK188" i="5"/>
  <c r="AL205" i="5"/>
  <c r="AK205" i="5"/>
  <c r="AL186" i="5"/>
  <c r="AK186" i="5"/>
  <c r="AL179" i="5"/>
  <c r="AK179" i="5"/>
  <c r="AL196" i="5"/>
  <c r="AK196" i="5"/>
  <c r="AL252" i="5"/>
  <c r="AK252" i="5"/>
  <c r="AK163" i="5"/>
  <c r="AL163" i="5"/>
  <c r="AK168" i="5"/>
  <c r="AL168" i="5"/>
  <c r="AL289" i="5"/>
  <c r="AK289" i="5"/>
  <c r="AK251" i="5"/>
  <c r="AL251" i="5"/>
  <c r="AL232" i="5"/>
  <c r="AK232" i="5"/>
  <c r="AL376" i="5"/>
  <c r="AK376" i="5"/>
  <c r="AL369" i="5"/>
  <c r="AK369" i="5"/>
  <c r="AL350" i="5"/>
  <c r="AK350" i="5"/>
  <c r="AL355" i="5"/>
  <c r="AK355" i="5"/>
  <c r="AL360" i="5"/>
  <c r="AK360" i="5"/>
  <c r="AL403" i="5"/>
  <c r="AK403" i="5"/>
  <c r="AL370" i="5"/>
  <c r="AK370" i="5"/>
  <c r="AK387" i="5"/>
  <c r="AL387" i="5"/>
  <c r="AL411" i="5"/>
  <c r="AK411" i="5"/>
  <c r="AL555" i="5"/>
  <c r="AK555" i="5"/>
  <c r="AL524" i="5"/>
  <c r="AK524" i="5"/>
  <c r="AL493" i="5"/>
  <c r="AK493" i="5"/>
  <c r="AL474" i="5"/>
  <c r="AK474" i="5"/>
  <c r="AL443" i="5"/>
  <c r="AK443" i="5"/>
  <c r="AL424" i="5"/>
  <c r="AK424" i="5"/>
  <c r="AK417" i="5"/>
  <c r="AL417" i="5"/>
  <c r="AL398" i="5"/>
  <c r="AK398" i="5"/>
  <c r="AL542" i="5"/>
  <c r="AK542" i="5"/>
  <c r="AL559" i="5"/>
  <c r="AK559" i="5"/>
  <c r="AL528" i="5"/>
  <c r="AK528" i="5"/>
  <c r="AK509" i="5"/>
  <c r="AL509" i="5"/>
  <c r="AL478" i="5"/>
  <c r="AK478" i="5"/>
  <c r="AL135" i="5"/>
  <c r="AK135" i="5"/>
  <c r="AL39" i="5"/>
  <c r="AK39" i="5"/>
  <c r="AK75" i="5"/>
  <c r="AL75" i="5"/>
  <c r="AL189" i="5"/>
  <c r="AK189" i="5"/>
  <c r="AK315" i="5"/>
  <c r="AL315" i="5"/>
  <c r="AL59" i="5"/>
  <c r="AK59" i="5"/>
  <c r="AK29" i="5"/>
  <c r="AL29" i="5"/>
  <c r="AL164" i="5"/>
  <c r="AK164" i="5"/>
  <c r="AL162" i="5"/>
  <c r="AK162" i="5"/>
  <c r="AL269" i="5"/>
  <c r="AK269" i="5"/>
  <c r="AM13" i="5"/>
  <c r="W13" i="5"/>
  <c r="AJ13" i="5"/>
  <c r="AG13" i="5"/>
  <c r="Z13" i="5"/>
  <c r="AL104" i="5"/>
  <c r="AK104" i="5"/>
  <c r="AL40" i="5"/>
  <c r="AK40" i="5"/>
  <c r="AL60" i="5"/>
  <c r="AK60" i="5"/>
  <c r="AL72" i="5"/>
  <c r="AK72" i="5"/>
  <c r="AL45" i="5"/>
  <c r="AK45" i="5"/>
  <c r="AL159" i="5"/>
  <c r="AK159" i="5"/>
  <c r="AL50" i="5"/>
  <c r="AK50" i="5"/>
  <c r="AL226" i="5"/>
  <c r="AK226" i="5"/>
  <c r="AK78" i="5"/>
  <c r="AL78" i="5"/>
  <c r="AK71" i="5"/>
  <c r="AL71" i="5"/>
  <c r="AK185" i="5"/>
  <c r="AL185" i="5"/>
  <c r="AL200" i="5"/>
  <c r="AK200" i="5"/>
  <c r="AL217" i="5"/>
  <c r="AK217" i="5"/>
  <c r="AL198" i="5"/>
  <c r="AK198" i="5"/>
  <c r="AL191" i="5"/>
  <c r="AK191" i="5"/>
  <c r="AL208" i="5"/>
  <c r="AK208" i="5"/>
  <c r="AL146" i="5"/>
  <c r="AK146" i="5"/>
  <c r="AK175" i="5"/>
  <c r="AL175" i="5"/>
  <c r="AK180" i="5"/>
  <c r="AL180" i="5"/>
  <c r="AL301" i="5"/>
  <c r="AK301" i="5"/>
  <c r="AL263" i="5"/>
  <c r="AK263" i="5"/>
  <c r="AL244" i="5"/>
  <c r="AK244" i="5"/>
  <c r="AL388" i="5"/>
  <c r="AK388" i="5"/>
  <c r="AL381" i="5"/>
  <c r="AK381" i="5"/>
  <c r="AL362" i="5"/>
  <c r="AK362" i="5"/>
  <c r="AL367" i="5"/>
  <c r="AK367" i="5"/>
  <c r="AL372" i="5"/>
  <c r="AK372" i="5"/>
  <c r="AK405" i="5"/>
  <c r="AL405" i="5"/>
  <c r="AL382" i="5"/>
  <c r="AK382" i="5"/>
  <c r="AK272" i="5"/>
  <c r="AL272" i="5"/>
  <c r="AL423" i="5"/>
  <c r="AK423" i="5"/>
  <c r="AL392" i="5"/>
  <c r="AK392" i="5"/>
  <c r="AL536" i="5"/>
  <c r="AK536" i="5"/>
  <c r="AL505" i="5"/>
  <c r="AK505" i="5"/>
  <c r="AL486" i="5"/>
  <c r="AK486" i="5"/>
  <c r="AL455" i="5"/>
  <c r="AK455" i="5"/>
  <c r="AL436" i="5"/>
  <c r="AK436" i="5"/>
  <c r="AK429" i="5"/>
  <c r="AL429" i="5"/>
  <c r="AL410" i="5"/>
  <c r="AK410" i="5"/>
  <c r="AL554" i="5"/>
  <c r="AK554" i="5"/>
  <c r="AL396" i="5"/>
  <c r="AK396" i="5"/>
  <c r="AL540" i="5"/>
  <c r="AK540" i="5"/>
  <c r="AK521" i="5"/>
  <c r="AL521" i="5"/>
  <c r="AL490" i="5"/>
  <c r="AK490" i="5"/>
  <c r="AL127" i="5"/>
  <c r="AK127" i="5"/>
  <c r="AK23" i="5"/>
  <c r="AL23" i="5"/>
  <c r="AL111" i="5"/>
  <c r="AK111" i="5"/>
  <c r="AL133" i="5"/>
  <c r="AK133" i="5"/>
  <c r="AL278" i="5"/>
  <c r="AK278" i="5"/>
  <c r="AL546" i="5"/>
  <c r="AK546" i="5"/>
  <c r="AL82" i="5"/>
  <c r="AK82" i="5"/>
  <c r="AL69" i="5"/>
  <c r="AK69" i="5"/>
  <c r="AL62" i="5"/>
  <c r="AK62" i="5"/>
  <c r="AL67" i="5"/>
  <c r="AK67" i="5"/>
  <c r="AL84" i="5"/>
  <c r="AK84" i="5"/>
  <c r="AL54" i="5"/>
  <c r="AK54" i="5"/>
  <c r="AL21" i="5"/>
  <c r="AK21" i="5"/>
  <c r="AL68" i="5"/>
  <c r="AK68" i="5"/>
  <c r="AK260" i="5"/>
  <c r="AL260" i="5"/>
  <c r="AK90" i="5"/>
  <c r="AL90" i="5"/>
  <c r="AK83" i="5"/>
  <c r="AL83" i="5"/>
  <c r="AL197" i="5"/>
  <c r="AK197" i="5"/>
  <c r="AL212" i="5"/>
  <c r="AK212" i="5"/>
  <c r="AL235" i="5"/>
  <c r="AK235" i="5"/>
  <c r="AL210" i="5"/>
  <c r="AK210" i="5"/>
  <c r="AL203" i="5"/>
  <c r="AK203" i="5"/>
  <c r="AL220" i="5"/>
  <c r="AK220" i="5"/>
  <c r="AL158" i="5"/>
  <c r="AK158" i="5"/>
  <c r="AK187" i="5"/>
  <c r="AL187" i="5"/>
  <c r="AK192" i="5"/>
  <c r="AL192" i="5"/>
  <c r="AL313" i="5"/>
  <c r="AK313" i="5"/>
  <c r="AL275" i="5"/>
  <c r="AK275" i="5"/>
  <c r="AL256" i="5"/>
  <c r="AK256" i="5"/>
  <c r="AL427" i="5"/>
  <c r="AK427" i="5"/>
  <c r="AL230" i="5"/>
  <c r="AK230" i="5"/>
  <c r="AL374" i="5"/>
  <c r="AK374" i="5"/>
  <c r="AL379" i="5"/>
  <c r="AK379" i="5"/>
  <c r="AL384" i="5"/>
  <c r="AK384" i="5"/>
  <c r="AL415" i="5"/>
  <c r="AK415" i="5"/>
  <c r="AL267" i="5"/>
  <c r="AK267" i="5"/>
  <c r="AK284" i="5"/>
  <c r="AL284" i="5"/>
  <c r="AL435" i="5"/>
  <c r="AK435" i="5"/>
  <c r="AL404" i="5"/>
  <c r="AK404" i="5"/>
  <c r="AL548" i="5"/>
  <c r="AK548" i="5"/>
  <c r="AL517" i="5"/>
  <c r="AK517" i="5"/>
  <c r="AL498" i="5"/>
  <c r="AK498" i="5"/>
  <c r="AL467" i="5"/>
  <c r="AK467" i="5"/>
  <c r="AL448" i="5"/>
  <c r="AK448" i="5"/>
  <c r="AL441" i="5"/>
  <c r="AK441" i="5"/>
  <c r="AL422" i="5"/>
  <c r="AK422" i="5"/>
  <c r="AL439" i="5"/>
  <c r="AK439" i="5"/>
  <c r="AL408" i="5"/>
  <c r="AK408" i="5"/>
  <c r="AL552" i="5"/>
  <c r="AK552" i="5"/>
  <c r="AK533" i="5"/>
  <c r="AL533" i="5"/>
  <c r="AL502" i="5"/>
  <c r="AK502" i="5"/>
  <c r="AL19" i="5"/>
  <c r="AK19" i="5"/>
  <c r="AL97" i="5"/>
  <c r="AK97" i="5"/>
  <c r="AL123" i="5"/>
  <c r="AK123" i="5"/>
  <c r="AL206" i="5"/>
  <c r="AK206" i="5"/>
  <c r="AL421" i="5"/>
  <c r="AK421" i="5"/>
  <c r="AL116" i="5"/>
  <c r="AK116" i="5"/>
  <c r="AL22" i="5"/>
  <c r="AK22" i="5"/>
  <c r="AL96" i="5"/>
  <c r="AK96" i="5"/>
  <c r="AL34" i="5"/>
  <c r="AK34" i="5"/>
  <c r="AK110" i="5"/>
  <c r="AL110" i="5"/>
  <c r="AL209" i="5"/>
  <c r="AK209" i="5"/>
  <c r="AL247" i="5"/>
  <c r="AK247" i="5"/>
  <c r="AL215" i="5"/>
  <c r="AK215" i="5"/>
  <c r="AL170" i="5"/>
  <c r="AK170" i="5"/>
  <c r="AK199" i="5"/>
  <c r="AL199" i="5"/>
  <c r="AK204" i="5"/>
  <c r="AL204" i="5"/>
  <c r="AL325" i="5"/>
  <c r="AK325" i="5"/>
  <c r="AL287" i="5"/>
  <c r="AK287" i="5"/>
  <c r="AL268" i="5"/>
  <c r="AK268" i="5"/>
  <c r="AL261" i="5"/>
  <c r="AK261" i="5"/>
  <c r="AL242" i="5"/>
  <c r="AK242" i="5"/>
  <c r="AL386" i="5"/>
  <c r="AK386" i="5"/>
  <c r="AL391" i="5"/>
  <c r="AK391" i="5"/>
  <c r="AL293" i="5"/>
  <c r="AK293" i="5"/>
  <c r="AL262" i="5"/>
  <c r="AK262" i="5"/>
  <c r="AK279" i="5"/>
  <c r="AL279" i="5"/>
  <c r="AK296" i="5"/>
  <c r="AL296" i="5"/>
  <c r="AL447" i="5"/>
  <c r="AK447" i="5"/>
  <c r="AL416" i="5"/>
  <c r="AK416" i="5"/>
  <c r="AL560" i="5"/>
  <c r="AK560" i="5"/>
  <c r="AL529" i="5"/>
  <c r="AK529" i="5"/>
  <c r="AL510" i="5"/>
  <c r="AK510" i="5"/>
  <c r="AL479" i="5"/>
  <c r="AK479" i="5"/>
  <c r="AL460" i="5"/>
  <c r="AK460" i="5"/>
  <c r="AL453" i="5"/>
  <c r="AK453" i="5"/>
  <c r="AL434" i="5"/>
  <c r="AK434" i="5"/>
  <c r="AL451" i="5"/>
  <c r="AK451" i="5"/>
  <c r="AL420" i="5"/>
  <c r="AK420" i="5"/>
  <c r="AK401" i="5"/>
  <c r="AL401" i="5"/>
  <c r="AK545" i="5"/>
  <c r="AL545" i="5"/>
  <c r="AL514" i="5"/>
  <c r="AK514" i="5"/>
  <c r="AL183" i="5"/>
  <c r="AK183" i="5"/>
  <c r="AL73" i="5"/>
  <c r="AK73" i="5"/>
  <c r="AL64" i="5"/>
  <c r="AK64" i="5"/>
  <c r="AL330" i="5"/>
  <c r="AK330" i="5"/>
  <c r="AL297" i="5"/>
  <c r="AK297" i="5"/>
  <c r="AL496" i="5"/>
  <c r="AK496" i="5"/>
  <c r="AK44" i="5"/>
  <c r="AL44" i="5"/>
  <c r="AL74" i="5"/>
  <c r="AK74" i="5"/>
  <c r="AL56" i="5"/>
  <c r="AK56" i="5"/>
  <c r="AL80" i="5"/>
  <c r="AK80" i="5"/>
  <c r="AL195" i="5"/>
  <c r="AK195" i="5"/>
  <c r="AK95" i="5"/>
  <c r="AL95" i="5"/>
  <c r="AL224" i="5"/>
  <c r="AK224" i="5"/>
  <c r="AL222" i="5"/>
  <c r="AK222" i="5"/>
  <c r="AK257" i="5"/>
  <c r="AL257" i="5"/>
  <c r="AL35" i="5"/>
  <c r="AK35" i="5"/>
  <c r="AL86" i="5"/>
  <c r="AK86" i="5"/>
  <c r="AL91" i="5"/>
  <c r="AK91" i="5"/>
  <c r="AL105" i="5"/>
  <c r="AK105" i="5"/>
  <c r="AL65" i="5"/>
  <c r="AK65" i="5"/>
  <c r="AK41" i="5"/>
  <c r="AL41" i="5"/>
  <c r="AL92" i="5"/>
  <c r="AK92" i="5"/>
  <c r="AL207" i="5"/>
  <c r="AK207" i="5"/>
  <c r="AK117" i="5"/>
  <c r="AL117" i="5"/>
  <c r="AK100" i="5"/>
  <c r="AL100" i="5"/>
  <c r="AL221" i="5"/>
  <c r="AK221" i="5"/>
  <c r="AL238" i="5"/>
  <c r="AK238" i="5"/>
  <c r="AL255" i="5"/>
  <c r="AK255" i="5"/>
  <c r="AL231" i="5"/>
  <c r="AK231" i="5"/>
  <c r="AL294" i="5"/>
  <c r="AK294" i="5"/>
  <c r="AL165" i="5"/>
  <c r="AK165" i="5"/>
  <c r="AL182" i="5"/>
  <c r="AK182" i="5"/>
  <c r="AK211" i="5"/>
  <c r="AL211" i="5"/>
  <c r="AK216" i="5"/>
  <c r="AL216" i="5"/>
  <c r="AL337" i="5"/>
  <c r="AK337" i="5"/>
  <c r="AL299" i="5"/>
  <c r="AK299" i="5"/>
  <c r="AL280" i="5"/>
  <c r="AK280" i="5"/>
  <c r="AL273" i="5"/>
  <c r="AK273" i="5"/>
  <c r="AK254" i="5"/>
  <c r="AL254" i="5"/>
  <c r="AL259" i="5"/>
  <c r="AK259" i="5"/>
  <c r="AL264" i="5"/>
  <c r="AK264" i="5"/>
  <c r="AL305" i="5"/>
  <c r="AK305" i="5"/>
  <c r="AL274" i="5"/>
  <c r="AK274" i="5"/>
  <c r="AK291" i="5"/>
  <c r="AL291" i="5"/>
  <c r="AK308" i="5"/>
  <c r="AL308" i="5"/>
  <c r="AL459" i="5"/>
  <c r="AK459" i="5"/>
  <c r="AL428" i="5"/>
  <c r="AK428" i="5"/>
  <c r="AL397" i="5"/>
  <c r="AK397" i="5"/>
  <c r="AL541" i="5"/>
  <c r="AK541" i="5"/>
  <c r="AL522" i="5"/>
  <c r="AK522" i="5"/>
  <c r="AL491" i="5"/>
  <c r="AK491" i="5"/>
  <c r="AL472" i="5"/>
  <c r="AK472" i="5"/>
  <c r="AL465" i="5"/>
  <c r="AK465" i="5"/>
  <c r="AL446" i="5"/>
  <c r="AK446" i="5"/>
  <c r="AL463" i="5"/>
  <c r="AK463" i="5"/>
  <c r="AL432" i="5"/>
  <c r="AK432" i="5"/>
  <c r="AK413" i="5"/>
  <c r="AL413" i="5"/>
  <c r="AK557" i="5"/>
  <c r="AL557" i="5"/>
  <c r="AL526" i="5"/>
  <c r="AK526" i="5"/>
  <c r="AL134" i="5"/>
  <c r="AK134" i="5"/>
  <c r="AK153" i="5"/>
  <c r="AL153" i="5"/>
  <c r="AL361" i="5"/>
  <c r="AK361" i="5"/>
  <c r="AL489" i="5"/>
  <c r="AK489" i="5"/>
  <c r="AK48" i="5"/>
  <c r="AL48" i="5"/>
  <c r="AL79" i="5"/>
  <c r="AK79" i="5"/>
  <c r="AL42" i="5"/>
  <c r="AK42" i="5"/>
  <c r="AL98" i="5"/>
  <c r="AK98" i="5"/>
  <c r="AK108" i="5"/>
  <c r="AL108" i="5"/>
  <c r="AL122" i="5"/>
  <c r="AK122" i="5"/>
  <c r="AL77" i="5"/>
  <c r="AK77" i="5"/>
  <c r="AK63" i="5"/>
  <c r="AL63" i="5"/>
  <c r="AL106" i="5"/>
  <c r="AK106" i="5"/>
  <c r="AL219" i="5"/>
  <c r="AK219" i="5"/>
  <c r="AK142" i="5"/>
  <c r="AL142" i="5"/>
  <c r="AK124" i="5"/>
  <c r="AL124" i="5"/>
  <c r="AL306" i="5"/>
  <c r="AK306" i="5"/>
  <c r="AL250" i="5"/>
  <c r="AK250" i="5"/>
  <c r="AK102" i="5"/>
  <c r="AL102" i="5"/>
  <c r="AL243" i="5"/>
  <c r="AK243" i="5"/>
  <c r="AL318" i="5"/>
  <c r="AK318" i="5"/>
  <c r="AL177" i="5"/>
  <c r="AK177" i="5"/>
  <c r="AL194" i="5"/>
  <c r="AK194" i="5"/>
  <c r="AK223" i="5"/>
  <c r="AL223" i="5"/>
  <c r="AK237" i="5"/>
  <c r="AL237" i="5"/>
  <c r="AL349" i="5"/>
  <c r="AK349" i="5"/>
  <c r="AL311" i="5"/>
  <c r="AK311" i="5"/>
  <c r="AL292" i="5"/>
  <c r="AK292" i="5"/>
  <c r="AL285" i="5"/>
  <c r="AK285" i="5"/>
  <c r="AL266" i="5"/>
  <c r="AK266" i="5"/>
  <c r="AK271" i="5"/>
  <c r="AL271" i="5"/>
  <c r="AL276" i="5"/>
  <c r="AK276" i="5"/>
  <c r="AL317" i="5"/>
  <c r="AK317" i="5"/>
  <c r="AL286" i="5"/>
  <c r="AK286" i="5"/>
  <c r="AK303" i="5"/>
  <c r="AL303" i="5"/>
  <c r="AK320" i="5"/>
  <c r="AL320" i="5"/>
  <c r="AL471" i="5"/>
  <c r="AK471" i="5"/>
  <c r="AL440" i="5"/>
  <c r="AK440" i="5"/>
  <c r="AL409" i="5"/>
  <c r="AK409" i="5"/>
  <c r="AL553" i="5"/>
  <c r="AK553" i="5"/>
  <c r="AL534" i="5"/>
  <c r="AK534" i="5"/>
  <c r="AL503" i="5"/>
  <c r="AK503" i="5"/>
  <c r="AL484" i="5"/>
  <c r="AK484" i="5"/>
  <c r="AL477" i="5"/>
  <c r="AK477" i="5"/>
  <c r="AL458" i="5"/>
  <c r="AK458" i="5"/>
  <c r="AL475" i="5"/>
  <c r="AK475" i="5"/>
  <c r="AL444" i="5"/>
  <c r="AK444" i="5"/>
  <c r="AK425" i="5"/>
  <c r="AL425" i="5"/>
  <c r="AL394" i="5"/>
  <c r="AK394" i="5"/>
  <c r="AL538" i="5"/>
  <c r="AK538" i="5"/>
  <c r="AL93" i="5"/>
  <c r="AK93" i="5"/>
  <c r="AF559" i="5"/>
  <c r="AF555" i="5"/>
  <c r="AF551" i="5"/>
  <c r="AP551" i="5" s="1"/>
  <c r="AF547" i="5"/>
  <c r="AF543" i="5"/>
  <c r="AP543" i="5" s="1"/>
  <c r="AF539" i="5"/>
  <c r="AF535" i="5"/>
  <c r="AF531" i="5"/>
  <c r="AF527" i="5"/>
  <c r="AF523" i="5"/>
  <c r="AF519" i="5"/>
  <c r="AP519" i="5" s="1"/>
  <c r="AF515" i="5"/>
  <c r="AF511" i="5"/>
  <c r="AF507" i="5"/>
  <c r="AF503" i="5"/>
  <c r="AP503" i="5" s="1"/>
  <c r="AF499" i="5"/>
  <c r="AP499" i="5" s="1"/>
  <c r="AF495" i="5"/>
  <c r="AF491" i="5"/>
  <c r="AP491" i="5" s="1"/>
  <c r="AF487" i="5"/>
  <c r="AF483" i="5"/>
  <c r="AF479" i="5"/>
  <c r="AF475" i="5"/>
  <c r="AP475" i="5" s="1"/>
  <c r="AF471" i="5"/>
  <c r="AF467" i="5"/>
  <c r="AP467" i="5" s="1"/>
  <c r="AF463" i="5"/>
  <c r="AP463" i="5" s="1"/>
  <c r="AF459" i="5"/>
  <c r="AF455" i="5"/>
  <c r="AP455" i="5" s="1"/>
  <c r="AF451" i="5"/>
  <c r="AP451" i="5" s="1"/>
  <c r="AF447" i="5"/>
  <c r="AF443" i="5"/>
  <c r="AF439" i="5"/>
  <c r="AP439" i="5" s="1"/>
  <c r="AF435" i="5"/>
  <c r="AP435" i="5" s="1"/>
  <c r="AF431" i="5"/>
  <c r="AF427" i="5"/>
  <c r="AF423" i="5"/>
  <c r="AP423" i="5" s="1"/>
  <c r="AF419" i="5"/>
  <c r="AP419" i="5" s="1"/>
  <c r="AF415" i="5"/>
  <c r="AF411" i="5"/>
  <c r="AF407" i="5"/>
  <c r="AP407" i="5" s="1"/>
  <c r="AF403" i="5"/>
  <c r="AF399" i="5"/>
  <c r="AP399" i="5" s="1"/>
  <c r="AF395" i="5"/>
  <c r="AP395" i="5" s="1"/>
  <c r="AF560" i="5"/>
  <c r="AF556" i="5"/>
  <c r="AF552" i="5"/>
  <c r="AP552" i="5" s="1"/>
  <c r="AF548" i="5"/>
  <c r="AP548" i="5" s="1"/>
  <c r="AF544" i="5"/>
  <c r="AF540" i="5"/>
  <c r="AF536" i="5"/>
  <c r="AP536" i="5" s="1"/>
  <c r="AF532" i="5"/>
  <c r="AF528" i="5"/>
  <c r="AF524" i="5"/>
  <c r="AP524" i="5" s="1"/>
  <c r="AF520" i="5"/>
  <c r="AP520" i="5" s="1"/>
  <c r="AF516" i="5"/>
  <c r="AF512" i="5"/>
  <c r="AP512" i="5" s="1"/>
  <c r="AF508" i="5"/>
  <c r="AF504" i="5"/>
  <c r="AP504" i="5" s="1"/>
  <c r="AF500" i="5"/>
  <c r="AP500" i="5" s="1"/>
  <c r="AF496" i="5"/>
  <c r="AP496" i="5" s="1"/>
  <c r="AF492" i="5"/>
  <c r="AF488" i="5"/>
  <c r="AP488" i="5" s="1"/>
  <c r="AF484" i="5"/>
  <c r="AP484" i="5" s="1"/>
  <c r="AF480" i="5"/>
  <c r="AP480" i="5" s="1"/>
  <c r="AF476" i="5"/>
  <c r="AF472" i="5"/>
  <c r="AP472" i="5" s="1"/>
  <c r="AF468" i="5"/>
  <c r="AP468" i="5" s="1"/>
  <c r="AF464" i="5"/>
  <c r="AF460" i="5"/>
  <c r="AF557" i="5"/>
  <c r="AF553" i="5"/>
  <c r="AF549" i="5"/>
  <c r="AF545" i="5"/>
  <c r="AP545" i="5" s="1"/>
  <c r="AF541" i="5"/>
  <c r="AF537" i="5"/>
  <c r="AF533" i="5"/>
  <c r="AP533" i="5" s="1"/>
  <c r="AF529" i="5"/>
  <c r="AF525" i="5"/>
  <c r="AF521" i="5"/>
  <c r="AF517" i="5"/>
  <c r="AP517" i="5" s="1"/>
  <c r="AF513" i="5"/>
  <c r="AP513" i="5" s="1"/>
  <c r="AF509" i="5"/>
  <c r="AF505" i="5"/>
  <c r="AP505" i="5" s="1"/>
  <c r="AF501" i="5"/>
  <c r="AP501" i="5" s="1"/>
  <c r="AF497" i="5"/>
  <c r="AF493" i="5"/>
  <c r="AF489" i="5"/>
  <c r="AF485" i="5"/>
  <c r="AF481" i="5"/>
  <c r="AP481" i="5" s="1"/>
  <c r="AF477" i="5"/>
  <c r="AF473" i="5"/>
  <c r="AP473" i="5" s="1"/>
  <c r="AF469" i="5"/>
  <c r="AP469" i="5" s="1"/>
  <c r="AF465" i="5"/>
  <c r="AP465" i="5" s="1"/>
  <c r="AF461" i="5"/>
  <c r="AF457" i="5"/>
  <c r="AP457" i="5" s="1"/>
  <c r="AF453" i="5"/>
  <c r="AP453" i="5" s="1"/>
  <c r="AF449" i="5"/>
  <c r="AF445" i="5"/>
  <c r="AF441" i="5"/>
  <c r="AF437" i="5"/>
  <c r="AP437" i="5" s="1"/>
  <c r="AF433" i="5"/>
  <c r="AF429" i="5"/>
  <c r="AP429" i="5" s="1"/>
  <c r="AF558" i="5"/>
  <c r="AF554" i="5"/>
  <c r="AP554" i="5" s="1"/>
  <c r="AF550" i="5"/>
  <c r="AP550" i="5" s="1"/>
  <c r="AF546" i="5"/>
  <c r="AF542" i="5"/>
  <c r="AP542" i="5" s="1"/>
  <c r="AF538" i="5"/>
  <c r="AF534" i="5"/>
  <c r="AF530" i="5"/>
  <c r="AF526" i="5"/>
  <c r="AF522" i="5"/>
  <c r="AF518" i="5"/>
  <c r="AP518" i="5" s="1"/>
  <c r="AF514" i="5"/>
  <c r="AP514" i="5" s="1"/>
  <c r="AF510" i="5"/>
  <c r="AP510" i="5" s="1"/>
  <c r="AF506" i="5"/>
  <c r="AF502" i="5"/>
  <c r="AP502" i="5" s="1"/>
  <c r="AF498" i="5"/>
  <c r="AF494" i="5"/>
  <c r="AP494" i="5" s="1"/>
  <c r="AF490" i="5"/>
  <c r="AF486" i="5"/>
  <c r="AF482" i="5"/>
  <c r="AF478" i="5"/>
  <c r="AF474" i="5"/>
  <c r="AP474" i="5" s="1"/>
  <c r="AF470" i="5"/>
  <c r="AP470" i="5" s="1"/>
  <c r="AF466" i="5"/>
  <c r="AF462" i="5"/>
  <c r="AP462" i="5" s="1"/>
  <c r="AF456" i="5"/>
  <c r="AP456" i="5" s="1"/>
  <c r="AF444" i="5"/>
  <c r="AP444" i="5" s="1"/>
  <c r="AF432" i="5"/>
  <c r="AF422" i="5"/>
  <c r="AF414" i="5"/>
  <c r="AP414" i="5" s="1"/>
  <c r="AF398" i="5"/>
  <c r="AP398" i="5" s="1"/>
  <c r="AF392" i="5"/>
  <c r="AP392" i="5" s="1"/>
  <c r="AF386" i="5"/>
  <c r="AF454" i="5"/>
  <c r="AP454" i="5" s="1"/>
  <c r="AF442" i="5"/>
  <c r="AP442" i="5" s="1"/>
  <c r="AF430" i="5"/>
  <c r="AF425" i="5"/>
  <c r="AP425" i="5" s="1"/>
  <c r="AF417" i="5"/>
  <c r="AP417" i="5" s="1"/>
  <c r="AF409" i="5"/>
  <c r="AF401" i="5"/>
  <c r="AP401" i="5" s="1"/>
  <c r="AF383" i="5"/>
  <c r="AP383" i="5" s="1"/>
  <c r="AF379" i="5"/>
  <c r="AF375" i="5"/>
  <c r="AF371" i="5"/>
  <c r="AF367" i="5"/>
  <c r="AF363" i="5"/>
  <c r="AP363" i="5" s="1"/>
  <c r="AF359" i="5"/>
  <c r="AP359" i="5" s="1"/>
  <c r="AF355" i="5"/>
  <c r="AF351" i="5"/>
  <c r="AF347" i="5"/>
  <c r="AF343" i="5"/>
  <c r="AP343" i="5" s="1"/>
  <c r="AF339" i="5"/>
  <c r="AF335" i="5"/>
  <c r="AF331" i="5"/>
  <c r="AP331" i="5" s="1"/>
  <c r="AF327" i="5"/>
  <c r="AP327" i="5" s="1"/>
  <c r="AF323" i="5"/>
  <c r="AP323" i="5" s="1"/>
  <c r="AF319" i="5"/>
  <c r="AF315" i="5"/>
  <c r="AP315" i="5" s="1"/>
  <c r="AF311" i="5"/>
  <c r="AP311" i="5" s="1"/>
  <c r="AF307" i="5"/>
  <c r="AP307" i="5" s="1"/>
  <c r="AF303" i="5"/>
  <c r="AF299" i="5"/>
  <c r="AF295" i="5"/>
  <c r="AP295" i="5" s="1"/>
  <c r="AF291" i="5"/>
  <c r="AF287" i="5"/>
  <c r="AF283" i="5"/>
  <c r="AP283" i="5" s="1"/>
  <c r="AF279" i="5"/>
  <c r="AP279" i="5" s="1"/>
  <c r="AF275" i="5"/>
  <c r="AP275" i="5" s="1"/>
  <c r="AF271" i="5"/>
  <c r="AF267" i="5"/>
  <c r="AP267" i="5" s="1"/>
  <c r="AF263" i="5"/>
  <c r="AF259" i="5"/>
  <c r="AP259" i="5" s="1"/>
  <c r="AF255" i="5"/>
  <c r="AP255" i="5" s="1"/>
  <c r="AF251" i="5"/>
  <c r="AP251" i="5" s="1"/>
  <c r="AF247" i="5"/>
  <c r="AF452" i="5"/>
  <c r="AP452" i="5" s="1"/>
  <c r="AF440" i="5"/>
  <c r="AF428" i="5"/>
  <c r="AF420" i="5"/>
  <c r="AP420" i="5" s="1"/>
  <c r="AF412" i="5"/>
  <c r="AP412" i="5" s="1"/>
  <c r="AF404" i="5"/>
  <c r="AP404" i="5" s="1"/>
  <c r="AF393" i="5"/>
  <c r="AF390" i="5"/>
  <c r="AP390" i="5" s="1"/>
  <c r="AF450" i="5"/>
  <c r="AF438" i="5"/>
  <c r="AP438" i="5" s="1"/>
  <c r="AF426" i="5"/>
  <c r="AP426" i="5" s="1"/>
  <c r="AF418" i="5"/>
  <c r="AP418" i="5" s="1"/>
  <c r="AF410" i="5"/>
  <c r="AP410" i="5" s="1"/>
  <c r="AF402" i="5"/>
  <c r="AP402" i="5" s="1"/>
  <c r="AF396" i="5"/>
  <c r="AF384" i="5"/>
  <c r="AF380" i="5"/>
  <c r="AF376" i="5"/>
  <c r="AP376" i="5" s="1"/>
  <c r="AF372" i="5"/>
  <c r="AF368" i="5"/>
  <c r="AP368" i="5" s="1"/>
  <c r="AF364" i="5"/>
  <c r="AF360" i="5"/>
  <c r="AP360" i="5" s="1"/>
  <c r="AF356" i="5"/>
  <c r="AP356" i="5" s="1"/>
  <c r="AF448" i="5"/>
  <c r="AP448" i="5" s="1"/>
  <c r="AF436" i="5"/>
  <c r="AF421" i="5"/>
  <c r="AP421" i="5" s="1"/>
  <c r="AF413" i="5"/>
  <c r="AP413" i="5" s="1"/>
  <c r="AF405" i="5"/>
  <c r="AF394" i="5"/>
  <c r="AF391" i="5"/>
  <c r="AP391" i="5" s="1"/>
  <c r="AF458" i="5"/>
  <c r="AP458" i="5" s="1"/>
  <c r="AF446" i="5"/>
  <c r="AF434" i="5"/>
  <c r="AF424" i="5"/>
  <c r="AF416" i="5"/>
  <c r="AF408" i="5"/>
  <c r="AP408" i="5" s="1"/>
  <c r="AF388" i="5"/>
  <c r="AF382" i="5"/>
  <c r="AF373" i="5"/>
  <c r="AP373" i="5" s="1"/>
  <c r="AF350" i="5"/>
  <c r="AP350" i="5" s="1"/>
  <c r="AF342" i="5"/>
  <c r="AF334" i="5"/>
  <c r="AP334" i="5" s="1"/>
  <c r="AF326" i="5"/>
  <c r="AP326" i="5" s="1"/>
  <c r="AF318" i="5"/>
  <c r="AP318" i="5" s="1"/>
  <c r="AF310" i="5"/>
  <c r="AF302" i="5"/>
  <c r="AF294" i="5"/>
  <c r="AP294" i="5" s="1"/>
  <c r="AF286" i="5"/>
  <c r="AF378" i="5"/>
  <c r="AF369" i="5"/>
  <c r="AF358" i="5"/>
  <c r="AP358" i="5" s="1"/>
  <c r="AF353" i="5"/>
  <c r="AP353" i="5" s="1"/>
  <c r="AF345" i="5"/>
  <c r="AF337" i="5"/>
  <c r="AP337" i="5" s="1"/>
  <c r="AF329" i="5"/>
  <c r="AP329" i="5" s="1"/>
  <c r="AF321" i="5"/>
  <c r="AP321" i="5" s="1"/>
  <c r="AF313" i="5"/>
  <c r="AF305" i="5"/>
  <c r="AF297" i="5"/>
  <c r="AP297" i="5" s="1"/>
  <c r="AF289" i="5"/>
  <c r="AF281" i="5"/>
  <c r="AP281" i="5" s="1"/>
  <c r="AF273" i="5"/>
  <c r="AF400" i="5"/>
  <c r="AF241" i="5"/>
  <c r="AF238" i="5"/>
  <c r="AF235" i="5"/>
  <c r="AF232" i="5"/>
  <c r="AP232" i="5" s="1"/>
  <c r="AF229" i="5"/>
  <c r="AP229" i="5" s="1"/>
  <c r="AF226" i="5"/>
  <c r="AP226" i="5" s="1"/>
  <c r="AF223" i="5"/>
  <c r="AP223" i="5" s="1"/>
  <c r="AF220" i="5"/>
  <c r="AP220" i="5" s="1"/>
  <c r="AF216" i="5"/>
  <c r="AF212" i="5"/>
  <c r="AF208" i="5"/>
  <c r="AP208" i="5" s="1"/>
  <c r="AF204" i="5"/>
  <c r="AF200" i="5"/>
  <c r="AF196" i="5"/>
  <c r="AF192" i="5"/>
  <c r="AP192" i="5" s="1"/>
  <c r="AF188" i="5"/>
  <c r="AF184" i="5"/>
  <c r="AF180" i="5"/>
  <c r="AF176" i="5"/>
  <c r="AP176" i="5" s="1"/>
  <c r="AF172" i="5"/>
  <c r="AP172" i="5" s="1"/>
  <c r="AF168" i="5"/>
  <c r="AF164" i="5"/>
  <c r="AP164" i="5" s="1"/>
  <c r="AF160" i="5"/>
  <c r="AP160" i="5" s="1"/>
  <c r="AF156" i="5"/>
  <c r="AF152" i="5"/>
  <c r="AF148" i="5"/>
  <c r="AF144" i="5"/>
  <c r="AF140" i="5"/>
  <c r="AP140" i="5" s="1"/>
  <c r="AF136" i="5"/>
  <c r="AP136" i="5" s="1"/>
  <c r="AF132" i="5"/>
  <c r="AF128" i="5"/>
  <c r="AP128" i="5" s="1"/>
  <c r="AF124" i="5"/>
  <c r="AP124" i="5" s="1"/>
  <c r="AF120" i="5"/>
  <c r="AP120" i="5" s="1"/>
  <c r="AF116" i="5"/>
  <c r="AP116" i="5" s="1"/>
  <c r="AF112" i="5"/>
  <c r="AP112" i="5" s="1"/>
  <c r="AF108" i="5"/>
  <c r="AP108" i="5" s="1"/>
  <c r="AF406" i="5"/>
  <c r="AP406" i="5" s="1"/>
  <c r="AF389" i="5"/>
  <c r="AF374" i="5"/>
  <c r="AF365" i="5"/>
  <c r="AP365" i="5" s="1"/>
  <c r="AF348" i="5"/>
  <c r="AF340" i="5"/>
  <c r="AP340" i="5" s="1"/>
  <c r="AF332" i="5"/>
  <c r="AF324" i="5"/>
  <c r="AP324" i="5" s="1"/>
  <c r="AF316" i="5"/>
  <c r="AF308" i="5"/>
  <c r="AP308" i="5" s="1"/>
  <c r="AF300" i="5"/>
  <c r="AP300" i="5" s="1"/>
  <c r="AF292" i="5"/>
  <c r="AP292" i="5" s="1"/>
  <c r="AF387" i="5"/>
  <c r="AF385" i="5"/>
  <c r="AF370" i="5"/>
  <c r="AP370" i="5" s="1"/>
  <c r="AF354" i="5"/>
  <c r="AP354" i="5" s="1"/>
  <c r="AF346" i="5"/>
  <c r="AF338" i="5"/>
  <c r="AF330" i="5"/>
  <c r="AF322" i="5"/>
  <c r="AP322" i="5" s="1"/>
  <c r="AF314" i="5"/>
  <c r="AP314" i="5" s="1"/>
  <c r="AF306" i="5"/>
  <c r="AF298" i="5"/>
  <c r="AF290" i="5"/>
  <c r="AF282" i="5"/>
  <c r="AP282" i="5" s="1"/>
  <c r="AF274" i="5"/>
  <c r="AP274" i="5" s="1"/>
  <c r="AF397" i="5"/>
  <c r="AF381" i="5"/>
  <c r="AF366" i="5"/>
  <c r="AP366" i="5" s="1"/>
  <c r="AF349" i="5"/>
  <c r="AP349" i="5" s="1"/>
  <c r="AF341" i="5"/>
  <c r="AF333" i="5"/>
  <c r="AF325" i="5"/>
  <c r="AP325" i="5" s="1"/>
  <c r="AF317" i="5"/>
  <c r="AP317" i="5" s="1"/>
  <c r="AF309" i="5"/>
  <c r="AP309" i="5" s="1"/>
  <c r="AF301" i="5"/>
  <c r="AP301" i="5" s="1"/>
  <c r="AF293" i="5"/>
  <c r="AF285" i="5"/>
  <c r="AP285" i="5" s="1"/>
  <c r="AF277" i="5"/>
  <c r="AP277" i="5" s="1"/>
  <c r="AF357" i="5"/>
  <c r="AF304" i="5"/>
  <c r="AP304" i="5" s="1"/>
  <c r="AF278" i="5"/>
  <c r="AF276" i="5"/>
  <c r="AP276" i="5" s="1"/>
  <c r="AF250" i="5"/>
  <c r="AF245" i="5"/>
  <c r="AF206" i="5"/>
  <c r="AF182" i="5"/>
  <c r="AP182" i="5" s="1"/>
  <c r="AF158" i="5"/>
  <c r="AP158" i="5" s="1"/>
  <c r="AF134" i="5"/>
  <c r="AP134" i="5" s="1"/>
  <c r="AF110" i="5"/>
  <c r="AF103" i="5"/>
  <c r="AP103" i="5" s="1"/>
  <c r="AF99" i="5"/>
  <c r="AP99" i="5" s="1"/>
  <c r="AF95" i="5"/>
  <c r="AP95" i="5" s="1"/>
  <c r="AF91" i="5"/>
  <c r="AF87" i="5"/>
  <c r="AF83" i="5"/>
  <c r="AP83" i="5" s="1"/>
  <c r="AF79" i="5"/>
  <c r="AF75" i="5"/>
  <c r="AP75" i="5" s="1"/>
  <c r="AF71" i="5"/>
  <c r="AP71" i="5" s="1"/>
  <c r="AF67" i="5"/>
  <c r="AF63" i="5"/>
  <c r="AP63" i="5" s="1"/>
  <c r="AF58" i="5"/>
  <c r="AP58" i="5" s="1"/>
  <c r="AF48" i="5"/>
  <c r="AF30" i="5"/>
  <c r="AF377" i="5"/>
  <c r="AP377" i="5" s="1"/>
  <c r="AF312" i="5"/>
  <c r="AP312" i="5" s="1"/>
  <c r="AF265" i="5"/>
  <c r="AF260" i="5"/>
  <c r="AP260" i="5" s="1"/>
  <c r="AF230" i="5"/>
  <c r="AP230" i="5" s="1"/>
  <c r="AF225" i="5"/>
  <c r="AP225" i="5" s="1"/>
  <c r="AF213" i="5"/>
  <c r="AF203" i="5"/>
  <c r="AP203" i="5" s="1"/>
  <c r="AF189" i="5"/>
  <c r="AF179" i="5"/>
  <c r="AP179" i="5" s="1"/>
  <c r="AF165" i="5"/>
  <c r="AF155" i="5"/>
  <c r="AP155" i="5" s="1"/>
  <c r="AF141" i="5"/>
  <c r="AP141" i="5" s="1"/>
  <c r="AF131" i="5"/>
  <c r="AF117" i="5"/>
  <c r="AF107" i="5"/>
  <c r="AF53" i="5"/>
  <c r="AP53" i="5" s="1"/>
  <c r="AF361" i="5"/>
  <c r="AF320" i="5"/>
  <c r="AP320" i="5" s="1"/>
  <c r="AF272" i="5"/>
  <c r="AF243" i="5"/>
  <c r="AF210" i="5"/>
  <c r="AF186" i="5"/>
  <c r="AF162" i="5"/>
  <c r="AP162" i="5" s="1"/>
  <c r="AF138" i="5"/>
  <c r="AF114" i="5"/>
  <c r="AP114" i="5" s="1"/>
  <c r="AF328" i="5"/>
  <c r="AP328" i="5" s="1"/>
  <c r="AF270" i="5"/>
  <c r="AF258" i="5"/>
  <c r="AF253" i="5"/>
  <c r="AF248" i="5"/>
  <c r="AP248" i="5" s="1"/>
  <c r="AF233" i="5"/>
  <c r="AF228" i="5"/>
  <c r="AP228" i="5" s="1"/>
  <c r="AF207" i="5"/>
  <c r="AP207" i="5" s="1"/>
  <c r="AF193" i="5"/>
  <c r="AF183" i="5"/>
  <c r="AF169" i="5"/>
  <c r="AP169" i="5" s="1"/>
  <c r="AF159" i="5"/>
  <c r="AP159" i="5" s="1"/>
  <c r="AF145" i="5"/>
  <c r="AF336" i="5"/>
  <c r="AF268" i="5"/>
  <c r="AF217" i="5"/>
  <c r="AP217" i="5" s="1"/>
  <c r="AF214" i="5"/>
  <c r="AF190" i="5"/>
  <c r="AP190" i="5" s="1"/>
  <c r="AF166" i="5"/>
  <c r="AF142" i="5"/>
  <c r="AF118" i="5"/>
  <c r="AF60" i="5"/>
  <c r="AP60" i="5" s="1"/>
  <c r="AF40" i="5"/>
  <c r="AF344" i="5"/>
  <c r="AP344" i="5" s="1"/>
  <c r="AF246" i="5"/>
  <c r="AP246" i="5" s="1"/>
  <c r="AF236" i="5"/>
  <c r="AP236" i="5" s="1"/>
  <c r="AF231" i="5"/>
  <c r="AF211" i="5"/>
  <c r="AP211" i="5" s="1"/>
  <c r="AF197" i="5"/>
  <c r="AF187" i="5"/>
  <c r="AP187" i="5" s="1"/>
  <c r="AF173" i="5"/>
  <c r="AF163" i="5"/>
  <c r="AP163" i="5" s="1"/>
  <c r="AF149" i="5"/>
  <c r="AF139" i="5"/>
  <c r="AF125" i="5"/>
  <c r="AF115" i="5"/>
  <c r="AF352" i="5"/>
  <c r="AF266" i="5"/>
  <c r="AP266" i="5" s="1"/>
  <c r="AF261" i="5"/>
  <c r="AF256" i="5"/>
  <c r="AF194" i="5"/>
  <c r="AP194" i="5" s="1"/>
  <c r="AF170" i="5"/>
  <c r="AP170" i="5" s="1"/>
  <c r="AF146" i="5"/>
  <c r="AF122" i="5"/>
  <c r="AP122" i="5" s="1"/>
  <c r="AF101" i="5"/>
  <c r="AP101" i="5" s="1"/>
  <c r="AF97" i="5"/>
  <c r="AP97" i="5" s="1"/>
  <c r="AF93" i="5"/>
  <c r="AP93" i="5" s="1"/>
  <c r="AF89" i="5"/>
  <c r="AF85" i="5"/>
  <c r="AP85" i="5" s="1"/>
  <c r="AF81" i="5"/>
  <c r="AF77" i="5"/>
  <c r="AF73" i="5"/>
  <c r="AF69" i="5"/>
  <c r="AF65" i="5"/>
  <c r="AF61" i="5"/>
  <c r="AP61" i="5" s="1"/>
  <c r="AF50" i="5"/>
  <c r="AP50" i="5" s="1"/>
  <c r="AF32" i="5"/>
  <c r="AP32" i="5" s="1"/>
  <c r="AF22" i="5"/>
  <c r="AP22" i="5" s="1"/>
  <c r="AF11" i="5"/>
  <c r="AF7" i="5"/>
  <c r="AF264" i="5"/>
  <c r="AF242" i="5"/>
  <c r="AP242" i="5" s="1"/>
  <c r="AF237" i="5"/>
  <c r="AF224" i="5"/>
  <c r="AF205" i="5"/>
  <c r="AP205" i="5" s="1"/>
  <c r="AF195" i="5"/>
  <c r="AF181" i="5"/>
  <c r="AP181" i="5" s="1"/>
  <c r="AF171" i="5"/>
  <c r="AF296" i="5"/>
  <c r="AP296" i="5" s="1"/>
  <c r="AF280" i="5"/>
  <c r="AP280" i="5" s="1"/>
  <c r="AF262" i="5"/>
  <c r="AP262" i="5" s="1"/>
  <c r="AF240" i="5"/>
  <c r="AF227" i="5"/>
  <c r="AF222" i="5"/>
  <c r="AF209" i="5"/>
  <c r="AF199" i="5"/>
  <c r="AF185" i="5"/>
  <c r="AF175" i="5"/>
  <c r="AP175" i="5" s="1"/>
  <c r="AF161" i="5"/>
  <c r="AF151" i="5"/>
  <c r="AF137" i="5"/>
  <c r="AF127" i="5"/>
  <c r="AF113" i="5"/>
  <c r="AP113" i="5" s="1"/>
  <c r="AF239" i="5"/>
  <c r="AP239" i="5" s="1"/>
  <c r="AF218" i="5"/>
  <c r="AF154" i="5"/>
  <c r="AF100" i="5"/>
  <c r="AF86" i="5"/>
  <c r="AP86" i="5" s="1"/>
  <c r="AF27" i="5"/>
  <c r="AP27" i="5" s="1"/>
  <c r="AF98" i="5"/>
  <c r="AF66" i="5"/>
  <c r="AP66" i="5" s="1"/>
  <c r="AF44" i="5"/>
  <c r="AP44" i="5" s="1"/>
  <c r="AF37" i="5"/>
  <c r="AF19" i="5"/>
  <c r="AP19" i="5" s="1"/>
  <c r="AF13" i="5"/>
  <c r="AF269" i="5"/>
  <c r="AP269" i="5" s="1"/>
  <c r="AF252" i="5"/>
  <c r="AP252" i="5" s="1"/>
  <c r="AF143" i="5"/>
  <c r="AF76" i="5"/>
  <c r="AP76" i="5" s="1"/>
  <c r="AF54" i="5"/>
  <c r="AF34" i="5"/>
  <c r="AF254" i="5"/>
  <c r="AP254" i="5" s="1"/>
  <c r="AF201" i="5"/>
  <c r="AF191" i="5"/>
  <c r="AF178" i="5"/>
  <c r="AP178" i="5" s="1"/>
  <c r="AF31" i="5"/>
  <c r="AF23" i="5"/>
  <c r="AP23" i="5" s="1"/>
  <c r="AF9" i="5"/>
  <c r="AF129" i="5"/>
  <c r="AF105" i="5"/>
  <c r="AF96" i="5"/>
  <c r="AP96" i="5" s="1"/>
  <c r="AF84" i="5"/>
  <c r="AF74" i="5"/>
  <c r="AF51" i="5"/>
  <c r="AP51" i="5" s="1"/>
  <c r="AF38" i="5"/>
  <c r="AF28" i="5"/>
  <c r="AF20" i="5"/>
  <c r="AP20" i="5" s="1"/>
  <c r="AF46" i="5"/>
  <c r="AP46" i="5" s="1"/>
  <c r="AF221" i="5"/>
  <c r="AP221" i="5" s="1"/>
  <c r="AF219" i="5"/>
  <c r="AP219" i="5" s="1"/>
  <c r="AF174" i="5"/>
  <c r="AF150" i="5"/>
  <c r="AF94" i="5"/>
  <c r="AP94" i="5" s="1"/>
  <c r="AF64" i="5"/>
  <c r="AP64" i="5" s="1"/>
  <c r="AF55" i="5"/>
  <c r="AF45" i="5"/>
  <c r="AF41" i="5"/>
  <c r="AP41" i="5" s="1"/>
  <c r="AF234" i="5"/>
  <c r="AF82" i="5"/>
  <c r="AP82" i="5" s="1"/>
  <c r="AF52" i="5"/>
  <c r="AF35" i="5"/>
  <c r="AF24" i="5"/>
  <c r="AF21" i="5"/>
  <c r="AF90" i="5"/>
  <c r="AF80" i="5"/>
  <c r="AF284" i="5"/>
  <c r="AF249" i="5"/>
  <c r="AP249" i="5" s="1"/>
  <c r="AF215" i="5"/>
  <c r="AP215" i="5" s="1"/>
  <c r="AF202" i="5"/>
  <c r="AF157" i="5"/>
  <c r="AF130" i="5"/>
  <c r="AF123" i="5"/>
  <c r="AP123" i="5" s="1"/>
  <c r="AF106" i="5"/>
  <c r="AP106" i="5" s="1"/>
  <c r="AF92" i="5"/>
  <c r="AP92" i="5" s="1"/>
  <c r="AF72" i="5"/>
  <c r="AF59" i="5"/>
  <c r="AP59" i="5" s="1"/>
  <c r="AF49" i="5"/>
  <c r="AF29" i="5"/>
  <c r="AF288" i="5"/>
  <c r="AF257" i="5"/>
  <c r="AF62" i="5"/>
  <c r="AF56" i="5"/>
  <c r="AP56" i="5" s="1"/>
  <c r="AF42" i="5"/>
  <c r="AF39" i="5"/>
  <c r="AP39" i="5" s="1"/>
  <c r="AF25" i="5"/>
  <c r="AP25" i="5" s="1"/>
  <c r="AF198" i="5"/>
  <c r="AF121" i="5"/>
  <c r="AF70" i="5"/>
  <c r="AF244" i="5"/>
  <c r="AF153" i="5"/>
  <c r="AF104" i="5"/>
  <c r="AF36" i="5"/>
  <c r="AF26" i="5"/>
  <c r="AF133" i="5"/>
  <c r="AP133" i="5" s="1"/>
  <c r="AF109" i="5"/>
  <c r="AF68" i="5"/>
  <c r="AP68" i="5" s="1"/>
  <c r="AF33" i="5"/>
  <c r="AP33" i="5" s="1"/>
  <c r="AF10" i="5"/>
  <c r="AF8" i="5"/>
  <c r="AF177" i="5"/>
  <c r="AF167" i="5"/>
  <c r="AF135" i="5"/>
  <c r="AF126" i="5"/>
  <c r="AF119" i="5"/>
  <c r="AF111" i="5"/>
  <c r="AP111" i="5" s="1"/>
  <c r="AF102" i="5"/>
  <c r="AP102" i="5" s="1"/>
  <c r="AF88" i="5"/>
  <c r="AF78" i="5"/>
  <c r="AP78" i="5" s="1"/>
  <c r="AF57" i="5"/>
  <c r="AF47" i="5"/>
  <c r="AF362" i="5"/>
  <c r="AP362" i="5" s="1"/>
  <c r="AF147" i="5"/>
  <c r="AF43" i="5"/>
  <c r="AP43" i="5" s="1"/>
  <c r="AF12" i="5"/>
  <c r="V7" i="5"/>
  <c r="B135" i="2"/>
  <c r="T558" i="5"/>
  <c r="T554" i="5"/>
  <c r="T550" i="5"/>
  <c r="T559" i="5"/>
  <c r="T555" i="5"/>
  <c r="T551" i="5"/>
  <c r="T547" i="5"/>
  <c r="T543" i="5"/>
  <c r="T539" i="5"/>
  <c r="T535" i="5"/>
  <c r="T531" i="5"/>
  <c r="T527" i="5"/>
  <c r="T560" i="5"/>
  <c r="T556" i="5"/>
  <c r="T552" i="5"/>
  <c r="T548" i="5"/>
  <c r="T557" i="5"/>
  <c r="T553" i="5"/>
  <c r="T549" i="5"/>
  <c r="T545" i="5"/>
  <c r="T541" i="5"/>
  <c r="T537" i="5"/>
  <c r="T533" i="5"/>
  <c r="T529" i="5"/>
  <c r="T538" i="5"/>
  <c r="T515" i="5"/>
  <c r="T504" i="5"/>
  <c r="T502" i="5"/>
  <c r="T500" i="5"/>
  <c r="T498" i="5"/>
  <c r="T496" i="5"/>
  <c r="T494" i="5"/>
  <c r="T492" i="5"/>
  <c r="T490" i="5"/>
  <c r="T526" i="5"/>
  <c r="T509" i="5"/>
  <c r="T540" i="5"/>
  <c r="T528" i="5"/>
  <c r="T525" i="5"/>
  <c r="T512" i="5"/>
  <c r="T506" i="5"/>
  <c r="T524" i="5"/>
  <c r="T518" i="5"/>
  <c r="T542" i="5"/>
  <c r="T530" i="5"/>
  <c r="T523" i="5"/>
  <c r="T511" i="5"/>
  <c r="T522" i="5"/>
  <c r="T517" i="5"/>
  <c r="T503" i="5"/>
  <c r="T499" i="5"/>
  <c r="T495" i="5"/>
  <c r="T491" i="5"/>
  <c r="T544" i="5"/>
  <c r="T532" i="5"/>
  <c r="T521" i="5"/>
  <c r="T514" i="5"/>
  <c r="T508" i="5"/>
  <c r="T505" i="5"/>
  <c r="T501" i="5"/>
  <c r="T497" i="5"/>
  <c r="T493" i="5"/>
  <c r="T489" i="5"/>
  <c r="T484" i="5"/>
  <c r="T481" i="5"/>
  <c r="T478" i="5"/>
  <c r="T475" i="5"/>
  <c r="T471" i="5"/>
  <c r="T546" i="5"/>
  <c r="T534" i="5"/>
  <c r="T507" i="5"/>
  <c r="T487" i="5"/>
  <c r="T520" i="5"/>
  <c r="T513" i="5"/>
  <c r="T519" i="5"/>
  <c r="T482" i="5"/>
  <c r="T485" i="5"/>
  <c r="T480" i="5"/>
  <c r="T470" i="5"/>
  <c r="T451" i="5"/>
  <c r="T447" i="5"/>
  <c r="T443" i="5"/>
  <c r="T439" i="5"/>
  <c r="T437" i="5"/>
  <c r="T431" i="5"/>
  <c r="T536" i="5"/>
  <c r="T476" i="5"/>
  <c r="T483" i="5"/>
  <c r="T467" i="5"/>
  <c r="T460" i="5"/>
  <c r="T455" i="5"/>
  <c r="T479" i="5"/>
  <c r="T469" i="5"/>
  <c r="T462" i="5"/>
  <c r="T457" i="5"/>
  <c r="T432" i="5"/>
  <c r="T428" i="5"/>
  <c r="T424" i="5"/>
  <c r="T420" i="5"/>
  <c r="T510" i="5"/>
  <c r="T435" i="5"/>
  <c r="T472" i="5"/>
  <c r="T516" i="5"/>
  <c r="T464" i="5"/>
  <c r="T459" i="5"/>
  <c r="T452" i="5"/>
  <c r="T450" i="5"/>
  <c r="T448" i="5"/>
  <c r="T446" i="5"/>
  <c r="T444" i="5"/>
  <c r="T442" i="5"/>
  <c r="T440" i="5"/>
  <c r="T438" i="5"/>
  <c r="T466" i="5"/>
  <c r="T461" i="5"/>
  <c r="T454" i="5"/>
  <c r="T436" i="5"/>
  <c r="T433" i="5"/>
  <c r="T488" i="5"/>
  <c r="T474" i="5"/>
  <c r="T477" i="5"/>
  <c r="T486" i="5"/>
  <c r="T468" i="5"/>
  <c r="T463" i="5"/>
  <c r="T456" i="5"/>
  <c r="T430" i="5"/>
  <c r="T427" i="5"/>
  <c r="T417" i="5"/>
  <c r="T413" i="5"/>
  <c r="T409" i="5"/>
  <c r="T405" i="5"/>
  <c r="T401" i="5"/>
  <c r="T397" i="5"/>
  <c r="T393" i="5"/>
  <c r="T389" i="5"/>
  <c r="T384" i="5"/>
  <c r="T380" i="5"/>
  <c r="T376" i="5"/>
  <c r="T372" i="5"/>
  <c r="T429" i="5"/>
  <c r="T419" i="5"/>
  <c r="T415" i="5"/>
  <c r="T411" i="5"/>
  <c r="T407" i="5"/>
  <c r="T403" i="5"/>
  <c r="T399" i="5"/>
  <c r="T395" i="5"/>
  <c r="T391" i="5"/>
  <c r="T387" i="5"/>
  <c r="T473" i="5"/>
  <c r="T426" i="5"/>
  <c r="T421" i="5"/>
  <c r="T445" i="5"/>
  <c r="T434" i="5"/>
  <c r="T381" i="5"/>
  <c r="T377" i="5"/>
  <c r="T373" i="5"/>
  <c r="T369" i="5"/>
  <c r="T365" i="5"/>
  <c r="T361" i="5"/>
  <c r="T458" i="5"/>
  <c r="T385" i="5"/>
  <c r="T453" i="5"/>
  <c r="T423" i="5"/>
  <c r="T425" i="5"/>
  <c r="T382" i="5"/>
  <c r="T378" i="5"/>
  <c r="T374" i="5"/>
  <c r="T418" i="5"/>
  <c r="T416" i="5"/>
  <c r="T414" i="5"/>
  <c r="T412" i="5"/>
  <c r="T410" i="5"/>
  <c r="T408" i="5"/>
  <c r="T406" i="5"/>
  <c r="T404" i="5"/>
  <c r="T402" i="5"/>
  <c r="T400" i="5"/>
  <c r="T398" i="5"/>
  <c r="T396" i="5"/>
  <c r="T394" i="5"/>
  <c r="T392" i="5"/>
  <c r="T390" i="5"/>
  <c r="T388" i="5"/>
  <c r="T465" i="5"/>
  <c r="T422" i="5"/>
  <c r="T349" i="5"/>
  <c r="T346" i="5"/>
  <c r="T340" i="5"/>
  <c r="T336" i="5"/>
  <c r="T332" i="5"/>
  <c r="T328" i="5"/>
  <c r="T367" i="5"/>
  <c r="T379" i="5"/>
  <c r="T366" i="5"/>
  <c r="T358" i="5"/>
  <c r="T351" i="5"/>
  <c r="T343" i="5"/>
  <c r="T364" i="5"/>
  <c r="T348" i="5"/>
  <c r="T337" i="5"/>
  <c r="T354" i="5"/>
  <c r="T345" i="5"/>
  <c r="T341" i="5"/>
  <c r="T449" i="5"/>
  <c r="T363" i="5"/>
  <c r="T357" i="5"/>
  <c r="T441" i="5"/>
  <c r="T386" i="5"/>
  <c r="T375" i="5"/>
  <c r="T362" i="5"/>
  <c r="T347" i="5"/>
  <c r="T338" i="5"/>
  <c r="T334" i="5"/>
  <c r="T330" i="5"/>
  <c r="T326" i="5"/>
  <c r="T322" i="5"/>
  <c r="T318" i="5"/>
  <c r="T314" i="5"/>
  <c r="T356" i="5"/>
  <c r="T353" i="5"/>
  <c r="T350" i="5"/>
  <c r="T368" i="5"/>
  <c r="T359" i="5"/>
  <c r="T352" i="5"/>
  <c r="T335" i="5"/>
  <c r="T275" i="5"/>
  <c r="T333" i="5"/>
  <c r="T300" i="5"/>
  <c r="T295" i="5"/>
  <c r="T288" i="5"/>
  <c r="T283" i="5"/>
  <c r="T383" i="5"/>
  <c r="T324" i="5"/>
  <c r="T320" i="5"/>
  <c r="T317" i="5"/>
  <c r="T339" i="5"/>
  <c r="T298" i="5"/>
  <c r="T293" i="5"/>
  <c r="T286" i="5"/>
  <c r="T281" i="5"/>
  <c r="T276" i="5"/>
  <c r="T370" i="5"/>
  <c r="T360" i="5"/>
  <c r="T331" i="5"/>
  <c r="T311" i="5"/>
  <c r="T309" i="5"/>
  <c r="T307" i="5"/>
  <c r="T305" i="5"/>
  <c r="T329" i="5"/>
  <c r="T323" i="5"/>
  <c r="T303" i="5"/>
  <c r="T296" i="5"/>
  <c r="T291" i="5"/>
  <c r="T284" i="5"/>
  <c r="T279" i="5"/>
  <c r="T371" i="5"/>
  <c r="T319" i="5"/>
  <c r="T316" i="5"/>
  <c r="T313" i="5"/>
  <c r="T355" i="5"/>
  <c r="T342" i="5"/>
  <c r="T301" i="5"/>
  <c r="T294" i="5"/>
  <c r="T289" i="5"/>
  <c r="T282" i="5"/>
  <c r="T277" i="5"/>
  <c r="T274" i="5"/>
  <c r="T268" i="5"/>
  <c r="T265" i="5"/>
  <c r="T261" i="5"/>
  <c r="T257" i="5"/>
  <c r="T253" i="5"/>
  <c r="T249" i="5"/>
  <c r="T327" i="5"/>
  <c r="T271" i="5"/>
  <c r="T310" i="5"/>
  <c r="T306" i="5"/>
  <c r="T299" i="5"/>
  <c r="T292" i="5"/>
  <c r="T287" i="5"/>
  <c r="T280" i="5"/>
  <c r="T304" i="5"/>
  <c r="T285" i="5"/>
  <c r="T272" i="5"/>
  <c r="T267" i="5"/>
  <c r="T264" i="5"/>
  <c r="T258" i="5"/>
  <c r="T325" i="5"/>
  <c r="T312" i="5"/>
  <c r="T251" i="5"/>
  <c r="T246" i="5"/>
  <c r="T242" i="5"/>
  <c r="T233" i="5"/>
  <c r="T229" i="5"/>
  <c r="T225" i="5"/>
  <c r="T344" i="5"/>
  <c r="T270" i="5"/>
  <c r="T244" i="5"/>
  <c r="T240" i="5"/>
  <c r="T237" i="5"/>
  <c r="T321" i="5"/>
  <c r="T278" i="5"/>
  <c r="T248" i="5"/>
  <c r="T297" i="5"/>
  <c r="T260" i="5"/>
  <c r="T250" i="5"/>
  <c r="T234" i="5"/>
  <c r="T230" i="5"/>
  <c r="T226" i="5"/>
  <c r="T222" i="5"/>
  <c r="T218" i="5"/>
  <c r="T315" i="5"/>
  <c r="T269" i="5"/>
  <c r="T266" i="5"/>
  <c r="T263" i="5"/>
  <c r="T255" i="5"/>
  <c r="T308" i="5"/>
  <c r="T238" i="5"/>
  <c r="T290" i="5"/>
  <c r="T252" i="5"/>
  <c r="T245" i="5"/>
  <c r="T241" i="5"/>
  <c r="T235" i="5"/>
  <c r="T231" i="5"/>
  <c r="T227" i="5"/>
  <c r="T262" i="5"/>
  <c r="T254" i="5"/>
  <c r="T302" i="5"/>
  <c r="T273" i="5"/>
  <c r="T256" i="5"/>
  <c r="T239" i="5"/>
  <c r="T232" i="5"/>
  <c r="T217" i="5"/>
  <c r="T213" i="5"/>
  <c r="T209" i="5"/>
  <c r="T205" i="5"/>
  <c r="T201" i="5"/>
  <c r="T198" i="5"/>
  <c r="T195" i="5"/>
  <c r="T172" i="5"/>
  <c r="T168" i="5"/>
  <c r="T164" i="5"/>
  <c r="T243" i="5"/>
  <c r="T192" i="5"/>
  <c r="T189" i="5"/>
  <c r="T187" i="5"/>
  <c r="T185" i="5"/>
  <c r="T183" i="5"/>
  <c r="T181" i="5"/>
  <c r="T176" i="5"/>
  <c r="T259" i="5"/>
  <c r="T179" i="5"/>
  <c r="T173" i="5"/>
  <c r="T169" i="5"/>
  <c r="T236" i="5"/>
  <c r="T216" i="5"/>
  <c r="T212" i="5"/>
  <c r="T208" i="5"/>
  <c r="T204" i="5"/>
  <c r="T197" i="5"/>
  <c r="T194" i="5"/>
  <c r="T191" i="5"/>
  <c r="T224" i="5"/>
  <c r="T223" i="5"/>
  <c r="T174" i="5"/>
  <c r="T170" i="5"/>
  <c r="T166" i="5"/>
  <c r="T162" i="5"/>
  <c r="T158" i="5"/>
  <c r="T154" i="5"/>
  <c r="T221" i="5"/>
  <c r="T215" i="5"/>
  <c r="T211" i="5"/>
  <c r="T207" i="5"/>
  <c r="T203" i="5"/>
  <c r="T228" i="5"/>
  <c r="T199" i="5"/>
  <c r="T247" i="5"/>
  <c r="T220" i="5"/>
  <c r="T214" i="5"/>
  <c r="T210" i="5"/>
  <c r="T206" i="5"/>
  <c r="T202" i="5"/>
  <c r="T196" i="5"/>
  <c r="T188" i="5"/>
  <c r="T184" i="5"/>
  <c r="T180" i="5"/>
  <c r="T175" i="5"/>
  <c r="T171" i="5"/>
  <c r="T190" i="5"/>
  <c r="T167" i="5"/>
  <c r="T159" i="5"/>
  <c r="T147" i="5"/>
  <c r="T142" i="5"/>
  <c r="T135" i="5"/>
  <c r="T130" i="5"/>
  <c r="T161" i="5"/>
  <c r="T125" i="5"/>
  <c r="T121" i="5"/>
  <c r="T117" i="5"/>
  <c r="T113" i="5"/>
  <c r="T109" i="5"/>
  <c r="T219" i="5"/>
  <c r="T163" i="5"/>
  <c r="T150" i="5"/>
  <c r="T143" i="5"/>
  <c r="T138" i="5"/>
  <c r="T131" i="5"/>
  <c r="T122" i="5"/>
  <c r="T118" i="5"/>
  <c r="T126" i="5"/>
  <c r="T165" i="5"/>
  <c r="T153" i="5"/>
  <c r="T148" i="5"/>
  <c r="T141" i="5"/>
  <c r="T200" i="5"/>
  <c r="T160" i="5"/>
  <c r="T123" i="5"/>
  <c r="T119" i="5"/>
  <c r="T115" i="5"/>
  <c r="T111" i="5"/>
  <c r="T107" i="5"/>
  <c r="T103" i="5"/>
  <c r="T186" i="5"/>
  <c r="T152" i="5"/>
  <c r="T144" i="5"/>
  <c r="T100" i="5"/>
  <c r="T96" i="5"/>
  <c r="T92" i="5"/>
  <c r="T59" i="5"/>
  <c r="T134" i="5"/>
  <c r="T129" i="5"/>
  <c r="T60" i="5"/>
  <c r="T140" i="5"/>
  <c r="T128" i="5"/>
  <c r="T102" i="5"/>
  <c r="T88" i="5"/>
  <c r="T139" i="5"/>
  <c r="T133" i="5"/>
  <c r="T127" i="5"/>
  <c r="T112" i="5"/>
  <c r="T104" i="5"/>
  <c r="T182" i="5"/>
  <c r="T99" i="5"/>
  <c r="T97" i="5"/>
  <c r="T95" i="5"/>
  <c r="T93" i="5"/>
  <c r="T91" i="5"/>
  <c r="T56" i="5"/>
  <c r="T193" i="5"/>
  <c r="T157" i="5"/>
  <c r="T146" i="5"/>
  <c r="T106" i="5"/>
  <c r="T89" i="5"/>
  <c r="T178" i="5"/>
  <c r="T177" i="5"/>
  <c r="T145" i="5"/>
  <c r="T132" i="5"/>
  <c r="T101" i="5"/>
  <c r="T79" i="5"/>
  <c r="T67" i="5"/>
  <c r="T151" i="5"/>
  <c r="T90" i="5"/>
  <c r="T41" i="5"/>
  <c r="T81" i="5"/>
  <c r="T76" i="5"/>
  <c r="T74" i="5"/>
  <c r="T69" i="5"/>
  <c r="T64" i="5"/>
  <c r="T62" i="5"/>
  <c r="T52" i="5"/>
  <c r="T46" i="5"/>
  <c r="T27" i="5"/>
  <c r="T94" i="5"/>
  <c r="T86" i="5"/>
  <c r="T50" i="5"/>
  <c r="T37" i="5"/>
  <c r="T32" i="5"/>
  <c r="T22" i="5"/>
  <c r="T116" i="5"/>
  <c r="T114" i="5"/>
  <c r="T83" i="5"/>
  <c r="T71" i="5"/>
  <c r="T47" i="5"/>
  <c r="T42" i="5"/>
  <c r="T28" i="5"/>
  <c r="T110" i="5"/>
  <c r="T98" i="5"/>
  <c r="T38" i="5"/>
  <c r="T23" i="5"/>
  <c r="T12" i="5"/>
  <c r="T155" i="5"/>
  <c r="T108" i="5"/>
  <c r="T85" i="5"/>
  <c r="T80" i="5"/>
  <c r="T78" i="5"/>
  <c r="T73" i="5"/>
  <c r="T68" i="5"/>
  <c r="T66" i="5"/>
  <c r="T61" i="5"/>
  <c r="T57" i="5"/>
  <c r="T55" i="5"/>
  <c r="T48" i="5"/>
  <c r="T33" i="5"/>
  <c r="O10" i="5"/>
  <c r="T120" i="5"/>
  <c r="T53" i="5"/>
  <c r="T43" i="5"/>
  <c r="T29" i="5"/>
  <c r="T19" i="5"/>
  <c r="T13" i="5"/>
  <c r="T156" i="5"/>
  <c r="T136" i="5"/>
  <c r="T105" i="5"/>
  <c r="T75" i="5"/>
  <c r="T63" i="5"/>
  <c r="T39" i="5"/>
  <c r="T34" i="5"/>
  <c r="T24" i="5"/>
  <c r="T8" i="5"/>
  <c r="T87" i="5"/>
  <c r="T45" i="5"/>
  <c r="T40" i="5"/>
  <c r="T9" i="5"/>
  <c r="T65" i="5"/>
  <c r="T26" i="5"/>
  <c r="T82" i="5"/>
  <c r="T49" i="5"/>
  <c r="T25" i="5"/>
  <c r="T21" i="5"/>
  <c r="T20" i="5"/>
  <c r="T84" i="5"/>
  <c r="T58" i="5"/>
  <c r="T54" i="5"/>
  <c r="T51" i="5"/>
  <c r="T137" i="5"/>
  <c r="T77" i="5"/>
  <c r="T44" i="5"/>
  <c r="T70" i="5"/>
  <c r="T72" i="5"/>
  <c r="T36" i="5"/>
  <c r="T149" i="5"/>
  <c r="T31" i="5"/>
  <c r="T30" i="5"/>
  <c r="T124" i="5"/>
  <c r="T35" i="5"/>
  <c r="Q557" i="5"/>
  <c r="Q553" i="5"/>
  <c r="Q549" i="5"/>
  <c r="Q558" i="5"/>
  <c r="Q554" i="5"/>
  <c r="Q550" i="5"/>
  <c r="Q546" i="5"/>
  <c r="Q542" i="5"/>
  <c r="Q538" i="5"/>
  <c r="Q534" i="5"/>
  <c r="Q530" i="5"/>
  <c r="Q559" i="5"/>
  <c r="Q555" i="5"/>
  <c r="Q551" i="5"/>
  <c r="Q560" i="5"/>
  <c r="Q556" i="5"/>
  <c r="Q552" i="5"/>
  <c r="Q548" i="5"/>
  <c r="Q544" i="5"/>
  <c r="Q540" i="5"/>
  <c r="Q536" i="5"/>
  <c r="Q532" i="5"/>
  <c r="Q528" i="5"/>
  <c r="Q537" i="5"/>
  <c r="Q513" i="5"/>
  <c r="Q519" i="5"/>
  <c r="Q539" i="5"/>
  <c r="Q527" i="5"/>
  <c r="Q526" i="5"/>
  <c r="Q515" i="5"/>
  <c r="Q504" i="5"/>
  <c r="Q502" i="5"/>
  <c r="Q500" i="5"/>
  <c r="Q525" i="5"/>
  <c r="Q512" i="5"/>
  <c r="Q506" i="5"/>
  <c r="Q541" i="5"/>
  <c r="Q529" i="5"/>
  <c r="Q524" i="5"/>
  <c r="Q518" i="5"/>
  <c r="Q509" i="5"/>
  <c r="Q523" i="5"/>
  <c r="Q483" i="5"/>
  <c r="Q477" i="5"/>
  <c r="Q543" i="5"/>
  <c r="Q531" i="5"/>
  <c r="Q522" i="5"/>
  <c r="Q511" i="5"/>
  <c r="Q486" i="5"/>
  <c r="Q514" i="5"/>
  <c r="Q508" i="5"/>
  <c r="Q503" i="5"/>
  <c r="Q499" i="5"/>
  <c r="Q495" i="5"/>
  <c r="Q491" i="5"/>
  <c r="Q474" i="5"/>
  <c r="Q470" i="5"/>
  <c r="Q545" i="5"/>
  <c r="Q533" i="5"/>
  <c r="Q521" i="5"/>
  <c r="Q517" i="5"/>
  <c r="Q484" i="5"/>
  <c r="Q505" i="5"/>
  <c r="Q501" i="5"/>
  <c r="Q497" i="5"/>
  <c r="Q493" i="5"/>
  <c r="Q516" i="5"/>
  <c r="Q510" i="5"/>
  <c r="Q487" i="5"/>
  <c r="Q496" i="5"/>
  <c r="Q468" i="5"/>
  <c r="Q458" i="5"/>
  <c r="Q456" i="5"/>
  <c r="Q430" i="5"/>
  <c r="Q485" i="5"/>
  <c r="Q480" i="5"/>
  <c r="Q473" i="5"/>
  <c r="Q465" i="5"/>
  <c r="Q463" i="5"/>
  <c r="Q453" i="5"/>
  <c r="Q437" i="5"/>
  <c r="Q498" i="5"/>
  <c r="Q476" i="5"/>
  <c r="Q451" i="5"/>
  <c r="Q447" i="5"/>
  <c r="Q443" i="5"/>
  <c r="Q439" i="5"/>
  <c r="Q431" i="5"/>
  <c r="Q427" i="5"/>
  <c r="Q423" i="5"/>
  <c r="Q520" i="5"/>
  <c r="Q462" i="5"/>
  <c r="Q460" i="5"/>
  <c r="Q479" i="5"/>
  <c r="Q469" i="5"/>
  <c r="Q467" i="5"/>
  <c r="Q457" i="5"/>
  <c r="Q455" i="5"/>
  <c r="Q432" i="5"/>
  <c r="Q478" i="5"/>
  <c r="Q475" i="5"/>
  <c r="Q472" i="5"/>
  <c r="Q435" i="5"/>
  <c r="Q492" i="5"/>
  <c r="Q490" i="5"/>
  <c r="Q489" i="5"/>
  <c r="Q482" i="5"/>
  <c r="Q481" i="5"/>
  <c r="Q466" i="5"/>
  <c r="Q464" i="5"/>
  <c r="Q454" i="5"/>
  <c r="Q452" i="5"/>
  <c r="Q450" i="5"/>
  <c r="Q448" i="5"/>
  <c r="Q446" i="5"/>
  <c r="Q444" i="5"/>
  <c r="Q442" i="5"/>
  <c r="Q440" i="5"/>
  <c r="Q547" i="5"/>
  <c r="Q488" i="5"/>
  <c r="Q461" i="5"/>
  <c r="Q459" i="5"/>
  <c r="Q438" i="5"/>
  <c r="Q507" i="5"/>
  <c r="Q436" i="5"/>
  <c r="Q422" i="5"/>
  <c r="Q386" i="5"/>
  <c r="Q383" i="5"/>
  <c r="Q379" i="5"/>
  <c r="Q375" i="5"/>
  <c r="Q371" i="5"/>
  <c r="Q429" i="5"/>
  <c r="Q424" i="5"/>
  <c r="Q417" i="5"/>
  <c r="Q413" i="5"/>
  <c r="Q409" i="5"/>
  <c r="Q405" i="5"/>
  <c r="Q401" i="5"/>
  <c r="Q397" i="5"/>
  <c r="Q393" i="5"/>
  <c r="Q389" i="5"/>
  <c r="Q384" i="5"/>
  <c r="Q380" i="5"/>
  <c r="Q376" i="5"/>
  <c r="Q372" i="5"/>
  <c r="Q368" i="5"/>
  <c r="Q364" i="5"/>
  <c r="Q360" i="5"/>
  <c r="Q445" i="5"/>
  <c r="Q433" i="5"/>
  <c r="Q426" i="5"/>
  <c r="Q421" i="5"/>
  <c r="Q419" i="5"/>
  <c r="Q415" i="5"/>
  <c r="Q411" i="5"/>
  <c r="Q407" i="5"/>
  <c r="Q403" i="5"/>
  <c r="Q399" i="5"/>
  <c r="Q395" i="5"/>
  <c r="Q391" i="5"/>
  <c r="Q387" i="5"/>
  <c r="Q434" i="5"/>
  <c r="Q381" i="5"/>
  <c r="Q377" i="5"/>
  <c r="Q373" i="5"/>
  <c r="Q385" i="5"/>
  <c r="Q535" i="5"/>
  <c r="Q494" i="5"/>
  <c r="Q428" i="5"/>
  <c r="Q425" i="5"/>
  <c r="Q449" i="5"/>
  <c r="Q441" i="5"/>
  <c r="Q420" i="5"/>
  <c r="Q410" i="5"/>
  <c r="Q394" i="5"/>
  <c r="Q370" i="5"/>
  <c r="Q369" i="5"/>
  <c r="Q359" i="5"/>
  <c r="Q352" i="5"/>
  <c r="Q339" i="5"/>
  <c r="Q335" i="5"/>
  <c r="Q331" i="5"/>
  <c r="Q378" i="5"/>
  <c r="Q416" i="5"/>
  <c r="Q400" i="5"/>
  <c r="Q367" i="5"/>
  <c r="Q346" i="5"/>
  <c r="Q406" i="5"/>
  <c r="Q390" i="5"/>
  <c r="Q351" i="5"/>
  <c r="Q349" i="5"/>
  <c r="Q340" i="5"/>
  <c r="Q336" i="5"/>
  <c r="Q366" i="5"/>
  <c r="Q365" i="5"/>
  <c r="Q358" i="5"/>
  <c r="Q348" i="5"/>
  <c r="Q343" i="5"/>
  <c r="Q412" i="5"/>
  <c r="Q396" i="5"/>
  <c r="Q374" i="5"/>
  <c r="Q418" i="5"/>
  <c r="Q402" i="5"/>
  <c r="Q363" i="5"/>
  <c r="Q354" i="5"/>
  <c r="Q337" i="5"/>
  <c r="Q333" i="5"/>
  <c r="Q329" i="5"/>
  <c r="Q325" i="5"/>
  <c r="Q321" i="5"/>
  <c r="Q317" i="5"/>
  <c r="Q357" i="5"/>
  <c r="Q347" i="5"/>
  <c r="Q345" i="5"/>
  <c r="Q341" i="5"/>
  <c r="Q408" i="5"/>
  <c r="Q392" i="5"/>
  <c r="Q362" i="5"/>
  <c r="Q356" i="5"/>
  <c r="Q471" i="5"/>
  <c r="Q404" i="5"/>
  <c r="Q388" i="5"/>
  <c r="Q355" i="5"/>
  <c r="Q353" i="5"/>
  <c r="Q344" i="5"/>
  <c r="Q342" i="5"/>
  <c r="Q382" i="5"/>
  <c r="Q318" i="5"/>
  <c r="Q315" i="5"/>
  <c r="Q292" i="5"/>
  <c r="Q280" i="5"/>
  <c r="Q334" i="5"/>
  <c r="Q312" i="5"/>
  <c r="Q308" i="5"/>
  <c r="Q304" i="5"/>
  <c r="Q297" i="5"/>
  <c r="Q285" i="5"/>
  <c r="Q302" i="5"/>
  <c r="Q290" i="5"/>
  <c r="Q278" i="5"/>
  <c r="Q272" i="5"/>
  <c r="Q338" i="5"/>
  <c r="Q295" i="5"/>
  <c r="Q283" i="5"/>
  <c r="Q275" i="5"/>
  <c r="Q324" i="5"/>
  <c r="Q320" i="5"/>
  <c r="Q314" i="5"/>
  <c r="Q300" i="5"/>
  <c r="Q288" i="5"/>
  <c r="Q332" i="5"/>
  <c r="Q330" i="5"/>
  <c r="Q293" i="5"/>
  <c r="Q281" i="5"/>
  <c r="Q273" i="5"/>
  <c r="Q361" i="5"/>
  <c r="Q311" i="5"/>
  <c r="Q309" i="5"/>
  <c r="Q307" i="5"/>
  <c r="Q305" i="5"/>
  <c r="Q298" i="5"/>
  <c r="Q286" i="5"/>
  <c r="Q276" i="5"/>
  <c r="Q270" i="5"/>
  <c r="Q414" i="5"/>
  <c r="Q323" i="5"/>
  <c r="Q303" i="5"/>
  <c r="Q291" i="5"/>
  <c r="Q279" i="5"/>
  <c r="Q267" i="5"/>
  <c r="Q264" i="5"/>
  <c r="Q260" i="5"/>
  <c r="Q256" i="5"/>
  <c r="Q252" i="5"/>
  <c r="Q248" i="5"/>
  <c r="Q319" i="5"/>
  <c r="Q316" i="5"/>
  <c r="Q313" i="5"/>
  <c r="Q296" i="5"/>
  <c r="Q284" i="5"/>
  <c r="Q398" i="5"/>
  <c r="Q328" i="5"/>
  <c r="Q322" i="5"/>
  <c r="Q301" i="5"/>
  <c r="Q289" i="5"/>
  <c r="Q277" i="5"/>
  <c r="Q294" i="5"/>
  <c r="Q261" i="5"/>
  <c r="Q259" i="5"/>
  <c r="Q247" i="5"/>
  <c r="Q243" i="5"/>
  <c r="Q236" i="5"/>
  <c r="Q232" i="5"/>
  <c r="Q228" i="5"/>
  <c r="Q224" i="5"/>
  <c r="Q326" i="5"/>
  <c r="Q287" i="5"/>
  <c r="Q271" i="5"/>
  <c r="Q258" i="5"/>
  <c r="Q253" i="5"/>
  <c r="Q239" i="5"/>
  <c r="Q246" i="5"/>
  <c r="Q242" i="5"/>
  <c r="Q327" i="5"/>
  <c r="Q306" i="5"/>
  <c r="Q251" i="5"/>
  <c r="Q237" i="5"/>
  <c r="Q233" i="5"/>
  <c r="Q229" i="5"/>
  <c r="Q225" i="5"/>
  <c r="Q221" i="5"/>
  <c r="Q244" i="5"/>
  <c r="Q240" i="5"/>
  <c r="Q299" i="5"/>
  <c r="Q269" i="5"/>
  <c r="Q257" i="5"/>
  <c r="Q250" i="5"/>
  <c r="Q350" i="5"/>
  <c r="Q266" i="5"/>
  <c r="Q234" i="5"/>
  <c r="Q230" i="5"/>
  <c r="Q282" i="5"/>
  <c r="Q268" i="5"/>
  <c r="Q265" i="5"/>
  <c r="Q263" i="5"/>
  <c r="Q255" i="5"/>
  <c r="Q245" i="5"/>
  <c r="Q241" i="5"/>
  <c r="Q274" i="5"/>
  <c r="Q219" i="5"/>
  <c r="Q218" i="5"/>
  <c r="Q175" i="5"/>
  <c r="Q171" i="5"/>
  <c r="Q167" i="5"/>
  <c r="Q249" i="5"/>
  <c r="Q231" i="5"/>
  <c r="Q217" i="5"/>
  <c r="Q213" i="5"/>
  <c r="Q209" i="5"/>
  <c r="Q205" i="5"/>
  <c r="Q198" i="5"/>
  <c r="Q178" i="5"/>
  <c r="Q201" i="5"/>
  <c r="Q195" i="5"/>
  <c r="Q192" i="5"/>
  <c r="Q176" i="5"/>
  <c r="Q172" i="5"/>
  <c r="Q168" i="5"/>
  <c r="Q189" i="5"/>
  <c r="Q187" i="5"/>
  <c r="Q185" i="5"/>
  <c r="Q183" i="5"/>
  <c r="Q181" i="5"/>
  <c r="Q235" i="5"/>
  <c r="Q216" i="5"/>
  <c r="Q212" i="5"/>
  <c r="Q208" i="5"/>
  <c r="Q204" i="5"/>
  <c r="Q197" i="5"/>
  <c r="Q191" i="5"/>
  <c r="Q173" i="5"/>
  <c r="Q169" i="5"/>
  <c r="Q165" i="5"/>
  <c r="Q161" i="5"/>
  <c r="Q157" i="5"/>
  <c r="Q238" i="5"/>
  <c r="Q226" i="5"/>
  <c r="Q200" i="5"/>
  <c r="Q310" i="5"/>
  <c r="Q254" i="5"/>
  <c r="Q223" i="5"/>
  <c r="Q222" i="5"/>
  <c r="Q262" i="5"/>
  <c r="Q227" i="5"/>
  <c r="Q215" i="5"/>
  <c r="Q211" i="5"/>
  <c r="Q207" i="5"/>
  <c r="Q203" i="5"/>
  <c r="Q190" i="5"/>
  <c r="Q186" i="5"/>
  <c r="Q182" i="5"/>
  <c r="Q174" i="5"/>
  <c r="Q170" i="5"/>
  <c r="Q162" i="5"/>
  <c r="Q155" i="5"/>
  <c r="Q151" i="5"/>
  <c r="Q139" i="5"/>
  <c r="Q127" i="5"/>
  <c r="Q210" i="5"/>
  <c r="Q188" i="5"/>
  <c r="Q144" i="5"/>
  <c r="Q132" i="5"/>
  <c r="Q164" i="5"/>
  <c r="Q149" i="5"/>
  <c r="Q137" i="5"/>
  <c r="Q124" i="5"/>
  <c r="Q120" i="5"/>
  <c r="Q116" i="5"/>
  <c r="Q112" i="5"/>
  <c r="Q194" i="5"/>
  <c r="Q193" i="5"/>
  <c r="Q152" i="5"/>
  <c r="Q140" i="5"/>
  <c r="Q128" i="5"/>
  <c r="Q125" i="5"/>
  <c r="Q121" i="5"/>
  <c r="Q117" i="5"/>
  <c r="Q206" i="5"/>
  <c r="Q196" i="5"/>
  <c r="Q166" i="5"/>
  <c r="Q156" i="5"/>
  <c r="Q145" i="5"/>
  <c r="Q133" i="5"/>
  <c r="Q220" i="5"/>
  <c r="Q199" i="5"/>
  <c r="Q150" i="5"/>
  <c r="Q138" i="5"/>
  <c r="Q214" i="5"/>
  <c r="Q179" i="5"/>
  <c r="Q163" i="5"/>
  <c r="Q158" i="5"/>
  <c r="Q143" i="5"/>
  <c r="Q131" i="5"/>
  <c r="Q122" i="5"/>
  <c r="Q118" i="5"/>
  <c r="Q114" i="5"/>
  <c r="Q110" i="5"/>
  <c r="Q106" i="5"/>
  <c r="Q102" i="5"/>
  <c r="Q202" i="5"/>
  <c r="Q184" i="5"/>
  <c r="Q177" i="5"/>
  <c r="Q154" i="5"/>
  <c r="Q135" i="5"/>
  <c r="Q130" i="5"/>
  <c r="Q52" i="5"/>
  <c r="Q142" i="5"/>
  <c r="Q113" i="5"/>
  <c r="Q87" i="5"/>
  <c r="Q53" i="5"/>
  <c r="Q107" i="5"/>
  <c r="Q98" i="5"/>
  <c r="Q94" i="5"/>
  <c r="Q90" i="5"/>
  <c r="Q59" i="5"/>
  <c r="Q141" i="5"/>
  <c r="Q134" i="5"/>
  <c r="Q129" i="5"/>
  <c r="Q104" i="5"/>
  <c r="Q88" i="5"/>
  <c r="Q60" i="5"/>
  <c r="Q160" i="5"/>
  <c r="Q147" i="5"/>
  <c r="Q159" i="5"/>
  <c r="Q180" i="5"/>
  <c r="Q126" i="5"/>
  <c r="Q103" i="5"/>
  <c r="Q77" i="5"/>
  <c r="Q65" i="5"/>
  <c r="Q95" i="5"/>
  <c r="Q82" i="5"/>
  <c r="Q70" i="5"/>
  <c r="Q35" i="5"/>
  <c r="Q25" i="5"/>
  <c r="Q101" i="5"/>
  <c r="Q79" i="5"/>
  <c r="Q67" i="5"/>
  <c r="Q54" i="5"/>
  <c r="Q45" i="5"/>
  <c r="Q40" i="5"/>
  <c r="Q115" i="5"/>
  <c r="Q100" i="5"/>
  <c r="Q76" i="5"/>
  <c r="Q64" i="5"/>
  <c r="Q56" i="5"/>
  <c r="Q36" i="5"/>
  <c r="Q31" i="5"/>
  <c r="Q26" i="5"/>
  <c r="Q21" i="5"/>
  <c r="Q153" i="5"/>
  <c r="Q99" i="5"/>
  <c r="Q81" i="5"/>
  <c r="Q69" i="5"/>
  <c r="Q41" i="5"/>
  <c r="Q111" i="5"/>
  <c r="Q109" i="5"/>
  <c r="Q74" i="5"/>
  <c r="Q62" i="5"/>
  <c r="Q50" i="5"/>
  <c r="Q46" i="5"/>
  <c r="Q27" i="5"/>
  <c r="Q119" i="5"/>
  <c r="Q93" i="5"/>
  <c r="Q89" i="5"/>
  <c r="Q86" i="5"/>
  <c r="Q83" i="5"/>
  <c r="Q71" i="5"/>
  <c r="Q37" i="5"/>
  <c r="B36" i="5"/>
  <c r="Q32" i="5"/>
  <c r="Q22" i="5"/>
  <c r="Q108" i="5"/>
  <c r="Q80" i="5"/>
  <c r="Q68" i="5"/>
  <c r="Q47" i="5"/>
  <c r="Q42" i="5"/>
  <c r="Q28" i="5"/>
  <c r="Q97" i="5"/>
  <c r="Q92" i="5"/>
  <c r="Q85" i="5"/>
  <c r="Q73" i="5"/>
  <c r="Q61" i="5"/>
  <c r="Q55" i="5"/>
  <c r="Q38" i="5"/>
  <c r="Q23" i="5"/>
  <c r="Q12" i="5"/>
  <c r="O11" i="5"/>
  <c r="Q91" i="5"/>
  <c r="Q84" i="5"/>
  <c r="Q72" i="5"/>
  <c r="Q39" i="5"/>
  <c r="Q34" i="5"/>
  <c r="Q24" i="5"/>
  <c r="Q8" i="5"/>
  <c r="Q33" i="5"/>
  <c r="Q13" i="5"/>
  <c r="Q105" i="5"/>
  <c r="Q30" i="5"/>
  <c r="Q66" i="5"/>
  <c r="Q29" i="5"/>
  <c r="Q136" i="5"/>
  <c r="Q96" i="5"/>
  <c r="Q75" i="5"/>
  <c r="Q146" i="5"/>
  <c r="Q48" i="5"/>
  <c r="Q58" i="5"/>
  <c r="Q57" i="5"/>
  <c r="Q49" i="5"/>
  <c r="Q20" i="5"/>
  <c r="Q51" i="5"/>
  <c r="Q9" i="5"/>
  <c r="Q123" i="5"/>
  <c r="Q19" i="5"/>
  <c r="Q148" i="5"/>
  <c r="Q78" i="5"/>
  <c r="Q63" i="5"/>
  <c r="Q44" i="5"/>
  <c r="Q43" i="5"/>
  <c r="AH152" i="4"/>
  <c r="AI152" i="4" s="1"/>
  <c r="AH140" i="4"/>
  <c r="AI140" i="4" s="1"/>
  <c r="AH128" i="4"/>
  <c r="AI128" i="4" s="1"/>
  <c r="AH116" i="4"/>
  <c r="AI116" i="4" s="1"/>
  <c r="AH104" i="4"/>
  <c r="AI104" i="4" s="1"/>
  <c r="AH92" i="4"/>
  <c r="AI92" i="4" s="1"/>
  <c r="AH80" i="4"/>
  <c r="AI80" i="4" s="1"/>
  <c r="AH68" i="4"/>
  <c r="AI68" i="4" s="1"/>
  <c r="AH56" i="4"/>
  <c r="AI56" i="4" s="1"/>
  <c r="AH44" i="4"/>
  <c r="AI44" i="4" s="1"/>
  <c r="AH32" i="4"/>
  <c r="AI32" i="4" s="1"/>
  <c r="AR32" i="4" s="1"/>
  <c r="AT32" i="4" s="1"/>
  <c r="AH20" i="4"/>
  <c r="AI20" i="4" s="1"/>
  <c r="AH153" i="4"/>
  <c r="AI153" i="4" s="1"/>
  <c r="AH33" i="4"/>
  <c r="AI33" i="4" s="1"/>
  <c r="AH154" i="4"/>
  <c r="AI154" i="4" s="1"/>
  <c r="AH142" i="4"/>
  <c r="AI142" i="4" s="1"/>
  <c r="AH130" i="4"/>
  <c r="AI130" i="4" s="1"/>
  <c r="AH118" i="4"/>
  <c r="AI118" i="4" s="1"/>
  <c r="AH106" i="4"/>
  <c r="AI106" i="4" s="1"/>
  <c r="AH94" i="4"/>
  <c r="AI94" i="4" s="1"/>
  <c r="AH82" i="4"/>
  <c r="AI82" i="4" s="1"/>
  <c r="AH70" i="4"/>
  <c r="AI70" i="4" s="1"/>
  <c r="AH58" i="4"/>
  <c r="AI58" i="4" s="1"/>
  <c r="AH46" i="4"/>
  <c r="AI46" i="4" s="1"/>
  <c r="AR46" i="4" s="1"/>
  <c r="AT46" i="4" s="1"/>
  <c r="AH34" i="4"/>
  <c r="AI34" i="4" s="1"/>
  <c r="AH22" i="4"/>
  <c r="AI22" i="4" s="1"/>
  <c r="AR22" i="4" s="1"/>
  <c r="AT22" i="4" s="1"/>
  <c r="AH117" i="4"/>
  <c r="AI117" i="4" s="1"/>
  <c r="AH155" i="4"/>
  <c r="AI155" i="4" s="1"/>
  <c r="AH143" i="4"/>
  <c r="AI143" i="4" s="1"/>
  <c r="AH131" i="4"/>
  <c r="AI131" i="4" s="1"/>
  <c r="AH119" i="4"/>
  <c r="AI119" i="4" s="1"/>
  <c r="AH107" i="4"/>
  <c r="AI107" i="4" s="1"/>
  <c r="AH95" i="4"/>
  <c r="AI95" i="4" s="1"/>
  <c r="AH83" i="4"/>
  <c r="AI83" i="4" s="1"/>
  <c r="AH71" i="4"/>
  <c r="AI71" i="4" s="1"/>
  <c r="AR71" i="4" s="1"/>
  <c r="AT71" i="4" s="1"/>
  <c r="AH59" i="4"/>
  <c r="AI59" i="4" s="1"/>
  <c r="AH47" i="4"/>
  <c r="AI47" i="4" s="1"/>
  <c r="AH35" i="4"/>
  <c r="AI35" i="4" s="1"/>
  <c r="AH23" i="4"/>
  <c r="AI23" i="4" s="1"/>
  <c r="AH9" i="4"/>
  <c r="AI9" i="4" s="1"/>
  <c r="AH8" i="4"/>
  <c r="AI8" i="4" s="1"/>
  <c r="AR8" i="4" s="1"/>
  <c r="AT8" i="4" s="1"/>
  <c r="AH7" i="4"/>
  <c r="AI7" i="4" s="1"/>
  <c r="AH156" i="4"/>
  <c r="AI156" i="4" s="1"/>
  <c r="AR156" i="4" s="1"/>
  <c r="AT156" i="4" s="1"/>
  <c r="AH144" i="4"/>
  <c r="AI144" i="4" s="1"/>
  <c r="AR144" i="4" s="1"/>
  <c r="AT144" i="4" s="1"/>
  <c r="AH132" i="4"/>
  <c r="AI132" i="4" s="1"/>
  <c r="AH120" i="4"/>
  <c r="AI120" i="4" s="1"/>
  <c r="AR120" i="4" s="1"/>
  <c r="AT120" i="4" s="1"/>
  <c r="AH108" i="4"/>
  <c r="AI108" i="4" s="1"/>
  <c r="AH96" i="4"/>
  <c r="AI96" i="4" s="1"/>
  <c r="AH84" i="4"/>
  <c r="AI84" i="4" s="1"/>
  <c r="AR84" i="4" s="1"/>
  <c r="AT84" i="4" s="1"/>
  <c r="AH72" i="4"/>
  <c r="AI72" i="4" s="1"/>
  <c r="AH60" i="4"/>
  <c r="AI60" i="4" s="1"/>
  <c r="AH48" i="4"/>
  <c r="AI48" i="4" s="1"/>
  <c r="AR48" i="4" s="1"/>
  <c r="AT48" i="4" s="1"/>
  <c r="AH36" i="4"/>
  <c r="AI36" i="4" s="1"/>
  <c r="AH24" i="4"/>
  <c r="AI24" i="4" s="1"/>
  <c r="AH10" i="4"/>
  <c r="AI10" i="4" s="1"/>
  <c r="AH69" i="4"/>
  <c r="AI69" i="4" s="1"/>
  <c r="AH57" i="4"/>
  <c r="AI57" i="4" s="1"/>
  <c r="AH157" i="4"/>
  <c r="AI157" i="4" s="1"/>
  <c r="AH145" i="4"/>
  <c r="AI145" i="4" s="1"/>
  <c r="AH133" i="4"/>
  <c r="AI133" i="4" s="1"/>
  <c r="AH121" i="4"/>
  <c r="AI121" i="4" s="1"/>
  <c r="AH109" i="4"/>
  <c r="AI109" i="4" s="1"/>
  <c r="AH97" i="4"/>
  <c r="AI97" i="4" s="1"/>
  <c r="AH85" i="4"/>
  <c r="AI85" i="4" s="1"/>
  <c r="AH73" i="4"/>
  <c r="AI73" i="4" s="1"/>
  <c r="AH61" i="4"/>
  <c r="AI61" i="4" s="1"/>
  <c r="AH49" i="4"/>
  <c r="AI49" i="4" s="1"/>
  <c r="AH37" i="4"/>
  <c r="AI37" i="4" s="1"/>
  <c r="AR37" i="4" s="1"/>
  <c r="AT37" i="4" s="1"/>
  <c r="AH25" i="4"/>
  <c r="AI25" i="4" s="1"/>
  <c r="AR25" i="4" s="1"/>
  <c r="AT25" i="4" s="1"/>
  <c r="AH12" i="4"/>
  <c r="AI12" i="4" s="1"/>
  <c r="AH11" i="4"/>
  <c r="AI11" i="4" s="1"/>
  <c r="AH146" i="4"/>
  <c r="AI146" i="4" s="1"/>
  <c r="AH134" i="4"/>
  <c r="AI134" i="4" s="1"/>
  <c r="AH122" i="4"/>
  <c r="AI122" i="4" s="1"/>
  <c r="AH110" i="4"/>
  <c r="AI110" i="4" s="1"/>
  <c r="AH98" i="4"/>
  <c r="AI98" i="4" s="1"/>
  <c r="AH86" i="4"/>
  <c r="AI86" i="4" s="1"/>
  <c r="AH74" i="4"/>
  <c r="AI74" i="4" s="1"/>
  <c r="AH62" i="4"/>
  <c r="AI62" i="4" s="1"/>
  <c r="AH50" i="4"/>
  <c r="AI50" i="4" s="1"/>
  <c r="AH38" i="4"/>
  <c r="AI38" i="4" s="1"/>
  <c r="AH26" i="4"/>
  <c r="AI26" i="4" s="1"/>
  <c r="AH13" i="4"/>
  <c r="AI13" i="4" s="1"/>
  <c r="AR13" i="4" s="1"/>
  <c r="AT13" i="4" s="1"/>
  <c r="AH129" i="4"/>
  <c r="AI129" i="4" s="1"/>
  <c r="AH147" i="4"/>
  <c r="AI147" i="4" s="1"/>
  <c r="AH135" i="4"/>
  <c r="AI135" i="4" s="1"/>
  <c r="AH123" i="4"/>
  <c r="AI123" i="4" s="1"/>
  <c r="AH111" i="4"/>
  <c r="AI111" i="4" s="1"/>
  <c r="AH99" i="4"/>
  <c r="AI99" i="4" s="1"/>
  <c r="AH87" i="4"/>
  <c r="AI87" i="4" s="1"/>
  <c r="AH75" i="4"/>
  <c r="AI75" i="4" s="1"/>
  <c r="AH63" i="4"/>
  <c r="AI63" i="4" s="1"/>
  <c r="AH51" i="4"/>
  <c r="AI51" i="4" s="1"/>
  <c r="AH39" i="4"/>
  <c r="AI39" i="4" s="1"/>
  <c r="AH27" i="4"/>
  <c r="AI27" i="4" s="1"/>
  <c r="AH15" i="4"/>
  <c r="AI15" i="4" s="1"/>
  <c r="AH14" i="4"/>
  <c r="AI14" i="4" s="1"/>
  <c r="AR14" i="4" s="1"/>
  <c r="AT14" i="4" s="1"/>
  <c r="AH81" i="4"/>
  <c r="AI81" i="4" s="1"/>
  <c r="AH148" i="4"/>
  <c r="AI148" i="4" s="1"/>
  <c r="AR148" i="4" s="1"/>
  <c r="AT148" i="4" s="1"/>
  <c r="AH136" i="4"/>
  <c r="AI136" i="4" s="1"/>
  <c r="AH124" i="4"/>
  <c r="AI124" i="4" s="1"/>
  <c r="AH112" i="4"/>
  <c r="AI112" i="4" s="1"/>
  <c r="AR112" i="4" s="1"/>
  <c r="AT112" i="4" s="1"/>
  <c r="AH100" i="4"/>
  <c r="AI100" i="4" s="1"/>
  <c r="AH88" i="4"/>
  <c r="AI88" i="4" s="1"/>
  <c r="AH76" i="4"/>
  <c r="AI76" i="4" s="1"/>
  <c r="AR76" i="4" s="1"/>
  <c r="AT76" i="4" s="1"/>
  <c r="AH64" i="4"/>
  <c r="AI64" i="4" s="1"/>
  <c r="AH52" i="4"/>
  <c r="AI52" i="4" s="1"/>
  <c r="AH40" i="4"/>
  <c r="AI40" i="4" s="1"/>
  <c r="AH28" i="4"/>
  <c r="AI28" i="4" s="1"/>
  <c r="AR28" i="4" s="1"/>
  <c r="AT28" i="4" s="1"/>
  <c r="AH16" i="4"/>
  <c r="AI16" i="4" s="1"/>
  <c r="AH149" i="4"/>
  <c r="AI149" i="4" s="1"/>
  <c r="AH137" i="4"/>
  <c r="AI137" i="4" s="1"/>
  <c r="AH125" i="4"/>
  <c r="AI125" i="4" s="1"/>
  <c r="AH113" i="4"/>
  <c r="AI113" i="4" s="1"/>
  <c r="AH101" i="4"/>
  <c r="AI101" i="4" s="1"/>
  <c r="AH89" i="4"/>
  <c r="AI89" i="4" s="1"/>
  <c r="AH77" i="4"/>
  <c r="AI77" i="4" s="1"/>
  <c r="AH65" i="4"/>
  <c r="AI65" i="4" s="1"/>
  <c r="AH53" i="4"/>
  <c r="AI53" i="4" s="1"/>
  <c r="AH41" i="4"/>
  <c r="AI41" i="4" s="1"/>
  <c r="AH29" i="4"/>
  <c r="AI29" i="4" s="1"/>
  <c r="AH17" i="4"/>
  <c r="AI17" i="4" s="1"/>
  <c r="AH141" i="4"/>
  <c r="AI141" i="4" s="1"/>
  <c r="AH105" i="4"/>
  <c r="AI105" i="4" s="1"/>
  <c r="AH150" i="4"/>
  <c r="AI150" i="4" s="1"/>
  <c r="AH138" i="4"/>
  <c r="AI138" i="4" s="1"/>
  <c r="AH126" i="4"/>
  <c r="AI126" i="4" s="1"/>
  <c r="AH114" i="4"/>
  <c r="AI114" i="4" s="1"/>
  <c r="AH102" i="4"/>
  <c r="AI102" i="4" s="1"/>
  <c r="AH90" i="4"/>
  <c r="AI90" i="4" s="1"/>
  <c r="AH78" i="4"/>
  <c r="AI78" i="4" s="1"/>
  <c r="AH66" i="4"/>
  <c r="AI66" i="4" s="1"/>
  <c r="AH54" i="4"/>
  <c r="AI54" i="4" s="1"/>
  <c r="AH42" i="4"/>
  <c r="AI42" i="4" s="1"/>
  <c r="AR42" i="4" s="1"/>
  <c r="AT42" i="4" s="1"/>
  <c r="AH30" i="4"/>
  <c r="AI30" i="4" s="1"/>
  <c r="AH18" i="4"/>
  <c r="AI18" i="4" s="1"/>
  <c r="AH93" i="4"/>
  <c r="AI93" i="4" s="1"/>
  <c r="AH21" i="4"/>
  <c r="AI21" i="4" s="1"/>
  <c r="AH151" i="4"/>
  <c r="AI151" i="4" s="1"/>
  <c r="AH139" i="4"/>
  <c r="AI139" i="4" s="1"/>
  <c r="AH127" i="4"/>
  <c r="AI127" i="4" s="1"/>
  <c r="AH115" i="4"/>
  <c r="AI115" i="4" s="1"/>
  <c r="AH103" i="4"/>
  <c r="AI103" i="4" s="1"/>
  <c r="AH91" i="4"/>
  <c r="AI91" i="4" s="1"/>
  <c r="AH79" i="4"/>
  <c r="AI79" i="4" s="1"/>
  <c r="AH67" i="4"/>
  <c r="AI67" i="4" s="1"/>
  <c r="AH55" i="4"/>
  <c r="AI55" i="4" s="1"/>
  <c r="AR55" i="4" s="1"/>
  <c r="AT55" i="4" s="1"/>
  <c r="AH43" i="4"/>
  <c r="AI43" i="4" s="1"/>
  <c r="AH31" i="4"/>
  <c r="AI31" i="4" s="1"/>
  <c r="AR31" i="4" s="1"/>
  <c r="AT31" i="4" s="1"/>
  <c r="AH19" i="4"/>
  <c r="AI19" i="4" s="1"/>
  <c r="AR19" i="4" s="1"/>
  <c r="AT19" i="4" s="1"/>
  <c r="AH45" i="4"/>
  <c r="AI45" i="4" s="1"/>
  <c r="AN38" i="4"/>
  <c r="AN45" i="4"/>
  <c r="AN130" i="4"/>
  <c r="AN57" i="4"/>
  <c r="AN94" i="4"/>
  <c r="AN106" i="4"/>
  <c r="AN142" i="4"/>
  <c r="AN81" i="4"/>
  <c r="AN117" i="4"/>
  <c r="AN153" i="4"/>
  <c r="AN54" i="4"/>
  <c r="AN16" i="4"/>
  <c r="AN68" i="4"/>
  <c r="AR68" i="4" s="1"/>
  <c r="AT68" i="4" s="1"/>
  <c r="AN137" i="4"/>
  <c r="AN101" i="4"/>
  <c r="AN33" i="4"/>
  <c r="AN69" i="4"/>
  <c r="AN105" i="4"/>
  <c r="AN141" i="4"/>
  <c r="AN53" i="4"/>
  <c r="AN72" i="4"/>
  <c r="AN108" i="4"/>
  <c r="AN79" i="4"/>
  <c r="AN115" i="4"/>
  <c r="AN151" i="4"/>
  <c r="AN44" i="4"/>
  <c r="AN86" i="4"/>
  <c r="AN27" i="4"/>
  <c r="AN26" i="4"/>
  <c r="AN77" i="4"/>
  <c r="AN97" i="4"/>
  <c r="AN133" i="4"/>
  <c r="AN43" i="4"/>
  <c r="AN113" i="4"/>
  <c r="AN9" i="4"/>
  <c r="AN99" i="4"/>
  <c r="AN135" i="4"/>
  <c r="AN59" i="4"/>
  <c r="AN15" i="4"/>
  <c r="AN65" i="4"/>
  <c r="AN149" i="4"/>
  <c r="AN17" i="4"/>
  <c r="AN12" i="4"/>
  <c r="AN66" i="4"/>
  <c r="AN102" i="4"/>
  <c r="AN138" i="4"/>
  <c r="AN64" i="4"/>
  <c r="AN109" i="4"/>
  <c r="AN145" i="4"/>
  <c r="AN50" i="4"/>
  <c r="AN56" i="4"/>
  <c r="AN49" i="4"/>
  <c r="AN122" i="4"/>
  <c r="AN95" i="4"/>
  <c r="AN10" i="4"/>
  <c r="AN128" i="4"/>
  <c r="AR128" i="4" s="1"/>
  <c r="AT128" i="4" s="1"/>
  <c r="AN92" i="4"/>
  <c r="AN39" i="4"/>
  <c r="AN75" i="4"/>
  <c r="AN111" i="4"/>
  <c r="AN147" i="4"/>
  <c r="AN67" i="4"/>
  <c r="AN125" i="4"/>
  <c r="AN89" i="4"/>
  <c r="AN78" i="4"/>
  <c r="AN114" i="4"/>
  <c r="AN150" i="4"/>
  <c r="AN82" i="4"/>
  <c r="AN118" i="4"/>
  <c r="AN154" i="4"/>
  <c r="AN70" i="4"/>
  <c r="AN41" i="4"/>
  <c r="AN58" i="4"/>
  <c r="AN47" i="4"/>
  <c r="AN85" i="4"/>
  <c r="AN121" i="4"/>
  <c r="AN157" i="4"/>
  <c r="AN35" i="4"/>
  <c r="AN155" i="4"/>
  <c r="AN119" i="4"/>
  <c r="AN83" i="4"/>
  <c r="AN88" i="4"/>
  <c r="AN124" i="4"/>
  <c r="AN40" i="4"/>
  <c r="AN152" i="4"/>
  <c r="AN116" i="4"/>
  <c r="AN80" i="4"/>
  <c r="AN51" i="4"/>
  <c r="AN87" i="4"/>
  <c r="AN123" i="4"/>
  <c r="AN91" i="4"/>
  <c r="AN127" i="4"/>
  <c r="AN30" i="4"/>
  <c r="AN34" i="4"/>
  <c r="AN29" i="4"/>
  <c r="AN90" i="4"/>
  <c r="AN7" i="4"/>
  <c r="AN134" i="4"/>
  <c r="AN126" i="4"/>
  <c r="AN146" i="4"/>
  <c r="AN74" i="4"/>
  <c r="AN52" i="4"/>
  <c r="AN93" i="4"/>
  <c r="AN24" i="4"/>
  <c r="AN23" i="4"/>
  <c r="AN143" i="4"/>
  <c r="AN107" i="4"/>
  <c r="AR107" i="4" s="1"/>
  <c r="AT107" i="4" s="1"/>
  <c r="AN73" i="4"/>
  <c r="AN60" i="4"/>
  <c r="AN96" i="4"/>
  <c r="AN132" i="4"/>
  <c r="AN100" i="4"/>
  <c r="AN136" i="4"/>
  <c r="AN11" i="4"/>
  <c r="AN21" i="4"/>
  <c r="AN20" i="4"/>
  <c r="AN98" i="4"/>
  <c r="AR98" i="4" s="1"/>
  <c r="AT98" i="4" s="1"/>
  <c r="AN61" i="4"/>
  <c r="AN110" i="4"/>
  <c r="AN129" i="4"/>
  <c r="AN140" i="4"/>
  <c r="AN104" i="4"/>
  <c r="AN62" i="4"/>
  <c r="AN63" i="4"/>
  <c r="AN103" i="4"/>
  <c r="AN139" i="4"/>
  <c r="AN18" i="4"/>
  <c r="AN131" i="4"/>
  <c r="AN36" i="4"/>
  <c r="AP529" i="5" l="1"/>
  <c r="AP109" i="5"/>
  <c r="AP165" i="5"/>
  <c r="AP532" i="5"/>
  <c r="AP385" i="5"/>
  <c r="AP238" i="5"/>
  <c r="AP38" i="5"/>
  <c r="AP241" i="5"/>
  <c r="AP62" i="5"/>
  <c r="AP290" i="5"/>
  <c r="AP523" i="5"/>
  <c r="AR523" i="5" s="1"/>
  <c r="AP382" i="5"/>
  <c r="AP287" i="5"/>
  <c r="AP206" i="5"/>
  <c r="AP388" i="5"/>
  <c r="AP339" i="5"/>
  <c r="AP79" i="5"/>
  <c r="AP168" i="5"/>
  <c r="AP483" i="5"/>
  <c r="AP222" i="5"/>
  <c r="AP336" i="5"/>
  <c r="AP333" i="5"/>
  <c r="AP330" i="5"/>
  <c r="AQ330" i="5" s="1"/>
  <c r="AP177" i="5"/>
  <c r="AP47" i="5"/>
  <c r="AP434" i="5"/>
  <c r="AP477" i="5"/>
  <c r="AP125" i="5"/>
  <c r="AP138" i="5"/>
  <c r="AP348" i="5"/>
  <c r="AP446" i="5"/>
  <c r="AP52" i="5"/>
  <c r="AP530" i="5"/>
  <c r="AP201" i="5"/>
  <c r="AP161" i="5"/>
  <c r="AR161" i="5" s="1"/>
  <c r="AP173" i="5"/>
  <c r="AP166" i="5"/>
  <c r="AP405" i="5"/>
  <c r="AQ405" i="5" s="1"/>
  <c r="AP486" i="5"/>
  <c r="AP449" i="5"/>
  <c r="AP492" i="5"/>
  <c r="AP540" i="5"/>
  <c r="AP371" i="5"/>
  <c r="AP233" i="5"/>
  <c r="AP396" i="5"/>
  <c r="AP379" i="5"/>
  <c r="AP490" i="5"/>
  <c r="AQ490" i="5" s="1"/>
  <c r="AP538" i="5"/>
  <c r="AP549" i="5"/>
  <c r="AP471" i="5"/>
  <c r="AR471" i="5" s="1"/>
  <c r="AP28" i="5"/>
  <c r="AP126" i="5"/>
  <c r="AP213" i="5"/>
  <c r="AP553" i="5"/>
  <c r="AP511" i="5"/>
  <c r="AP69" i="5"/>
  <c r="AP54" i="5"/>
  <c r="AP224" i="5"/>
  <c r="AP256" i="5"/>
  <c r="AQ256" i="5" s="1"/>
  <c r="AP212" i="5"/>
  <c r="AP210" i="5"/>
  <c r="AP148" i="5"/>
  <c r="AR148" i="5" s="1"/>
  <c r="AP394" i="5"/>
  <c r="AP400" i="5"/>
  <c r="AP74" i="5"/>
  <c r="AP185" i="5"/>
  <c r="AP440" i="5"/>
  <c r="AP261" i="5"/>
  <c r="AP245" i="5"/>
  <c r="AP247" i="5"/>
  <c r="AP409" i="5"/>
  <c r="AR409" i="5" s="1"/>
  <c r="AP195" i="5"/>
  <c r="AP147" i="5"/>
  <c r="AP299" i="5"/>
  <c r="AR299" i="5" s="1"/>
  <c r="AP535" i="5"/>
  <c r="AP196" i="5"/>
  <c r="AP345" i="5"/>
  <c r="AP156" i="5"/>
  <c r="AP150" i="5"/>
  <c r="AP8" i="5"/>
  <c r="AP121" i="5"/>
  <c r="AP218" i="5"/>
  <c r="AP227" i="5"/>
  <c r="AR227" i="5" s="1"/>
  <c r="AP117" i="5"/>
  <c r="AP305" i="5"/>
  <c r="AP302" i="5"/>
  <c r="AQ302" i="5" s="1"/>
  <c r="AP351" i="5"/>
  <c r="AP558" i="5"/>
  <c r="AP521" i="5"/>
  <c r="AP443" i="5"/>
  <c r="AP539" i="5"/>
  <c r="AP342" i="5"/>
  <c r="AP90" i="5"/>
  <c r="AP270" i="5"/>
  <c r="AP250" i="5"/>
  <c r="AQ250" i="5" s="1"/>
  <c r="AP89" i="5"/>
  <c r="AP131" i="5"/>
  <c r="AP91" i="5"/>
  <c r="AR91" i="5" s="1"/>
  <c r="AP278" i="5"/>
  <c r="AP132" i="5"/>
  <c r="AP180" i="5"/>
  <c r="AP310" i="5"/>
  <c r="AP495" i="5"/>
  <c r="AP26" i="5"/>
  <c r="AP369" i="5"/>
  <c r="AP298" i="5"/>
  <c r="AP258" i="5"/>
  <c r="AR258" i="5" s="1"/>
  <c r="AP143" i="5"/>
  <c r="AP154" i="5"/>
  <c r="AP107" i="5"/>
  <c r="AR107" i="5" s="1"/>
  <c r="AP193" i="5"/>
  <c r="AP397" i="5"/>
  <c r="AP319" i="5"/>
  <c r="AP478" i="5"/>
  <c r="AQ478" i="5" s="1"/>
  <c r="AP489" i="5"/>
  <c r="AP537" i="5"/>
  <c r="AP411" i="5"/>
  <c r="AP555" i="5"/>
  <c r="AP191" i="5"/>
  <c r="AR191" i="5" s="1"/>
  <c r="AP389" i="5"/>
  <c r="AP380" i="5"/>
  <c r="AP493" i="5"/>
  <c r="AQ493" i="5" s="1"/>
  <c r="AP541" i="5"/>
  <c r="AP375" i="5"/>
  <c r="AP152" i="5"/>
  <c r="AP200" i="5"/>
  <c r="AQ200" i="5" s="1"/>
  <c r="AP119" i="5"/>
  <c r="AP36" i="5"/>
  <c r="AP45" i="5"/>
  <c r="AP98" i="5"/>
  <c r="AP67" i="5"/>
  <c r="AQ67" i="5" s="1"/>
  <c r="AP428" i="5"/>
  <c r="AP135" i="5"/>
  <c r="AP153" i="5"/>
  <c r="AQ153" i="5" s="1"/>
  <c r="AP284" i="5"/>
  <c r="AP84" i="5"/>
  <c r="AP199" i="5"/>
  <c r="AP73" i="5"/>
  <c r="AR73" i="5" s="1"/>
  <c r="AP361" i="5"/>
  <c r="AP498" i="5"/>
  <c r="AP546" i="5"/>
  <c r="AP461" i="5"/>
  <c r="AP509" i="5"/>
  <c r="AR509" i="5" s="1"/>
  <c r="AP527" i="5"/>
  <c r="AP100" i="5"/>
  <c r="AP77" i="5"/>
  <c r="AR77" i="5" s="1"/>
  <c r="AP316" i="5"/>
  <c r="AP508" i="5"/>
  <c r="AP556" i="5"/>
  <c r="AP265" i="5"/>
  <c r="AQ265" i="5" s="1"/>
  <c r="AP87" i="5"/>
  <c r="AP424" i="5"/>
  <c r="AP198" i="5"/>
  <c r="AP364" i="5"/>
  <c r="Y7" i="5"/>
  <c r="X7" i="5"/>
  <c r="AB7" i="5"/>
  <c r="AA7" i="5"/>
  <c r="AC7" i="5"/>
  <c r="AP7" i="5"/>
  <c r="AP167" i="5"/>
  <c r="AP49" i="5"/>
  <c r="AQ49" i="5" s="1"/>
  <c r="AP237" i="5"/>
  <c r="AP289" i="5"/>
  <c r="AP464" i="5"/>
  <c r="AP415" i="5"/>
  <c r="AP559" i="5"/>
  <c r="AR559" i="5" s="1"/>
  <c r="AP202" i="5"/>
  <c r="AP146" i="5"/>
  <c r="AP243" i="5"/>
  <c r="AR243" i="5" s="1"/>
  <c r="AP293" i="5"/>
  <c r="AR293" i="5" s="1"/>
  <c r="AP387" i="5"/>
  <c r="AP384" i="5"/>
  <c r="AI7" i="5"/>
  <c r="AH7" i="5"/>
  <c r="AI176" i="5"/>
  <c r="AH176" i="5"/>
  <c r="AI115" i="5"/>
  <c r="AH115" i="5"/>
  <c r="AI105" i="5"/>
  <c r="AH105" i="5"/>
  <c r="AI162" i="5"/>
  <c r="AH162" i="5"/>
  <c r="AI31" i="5"/>
  <c r="AH31" i="5"/>
  <c r="AI185" i="5"/>
  <c r="AH185" i="5"/>
  <c r="AI76" i="5"/>
  <c r="AH76" i="5"/>
  <c r="AI220" i="5"/>
  <c r="AH220" i="5"/>
  <c r="AI171" i="5"/>
  <c r="AH171" i="5"/>
  <c r="AI98" i="5"/>
  <c r="AH98" i="5"/>
  <c r="AI123" i="5"/>
  <c r="AH123" i="5"/>
  <c r="AI145" i="5"/>
  <c r="AH145" i="5"/>
  <c r="AI58" i="5"/>
  <c r="AH58" i="5"/>
  <c r="AI204" i="5"/>
  <c r="AH204" i="5"/>
  <c r="AH155" i="5"/>
  <c r="AI155" i="5"/>
  <c r="AH56" i="5"/>
  <c r="AI56" i="5"/>
  <c r="AH202" i="5"/>
  <c r="AI202" i="5"/>
  <c r="AI372" i="5"/>
  <c r="AH372" i="5"/>
  <c r="AI516" i="5"/>
  <c r="AH516" i="5"/>
  <c r="AI323" i="5"/>
  <c r="AH323" i="5"/>
  <c r="AI467" i="5"/>
  <c r="AH467" i="5"/>
  <c r="AI274" i="5"/>
  <c r="AH274" i="5"/>
  <c r="AI418" i="5"/>
  <c r="AH418" i="5"/>
  <c r="AI225" i="5"/>
  <c r="AH225" i="5"/>
  <c r="AI369" i="5"/>
  <c r="AH369" i="5"/>
  <c r="AI513" i="5"/>
  <c r="AH513" i="5"/>
  <c r="AI320" i="5"/>
  <c r="AH320" i="5"/>
  <c r="AI464" i="5"/>
  <c r="AH464" i="5"/>
  <c r="AI271" i="5"/>
  <c r="AH271" i="5"/>
  <c r="AI415" i="5"/>
  <c r="AH415" i="5"/>
  <c r="AI559" i="5"/>
  <c r="AH559" i="5"/>
  <c r="AI366" i="5"/>
  <c r="AH366" i="5"/>
  <c r="AI510" i="5"/>
  <c r="AH510" i="5"/>
  <c r="AI329" i="5"/>
  <c r="AH329" i="5"/>
  <c r="AI473" i="5"/>
  <c r="AH473" i="5"/>
  <c r="AI280" i="5"/>
  <c r="AH280" i="5"/>
  <c r="AI424" i="5"/>
  <c r="AH424" i="5"/>
  <c r="AI231" i="5"/>
  <c r="AH231" i="5"/>
  <c r="AI375" i="5"/>
  <c r="AH375" i="5"/>
  <c r="AI519" i="5"/>
  <c r="AH519" i="5"/>
  <c r="AH326" i="5"/>
  <c r="AI326" i="5"/>
  <c r="AH470" i="5"/>
  <c r="AI470" i="5"/>
  <c r="AI277" i="5"/>
  <c r="AH277" i="5"/>
  <c r="AI421" i="5"/>
  <c r="AH421" i="5"/>
  <c r="AI35" i="5"/>
  <c r="AH35" i="5"/>
  <c r="AI127" i="5"/>
  <c r="AH127" i="5"/>
  <c r="AI174" i="5"/>
  <c r="AH174" i="5"/>
  <c r="AI197" i="5"/>
  <c r="AH197" i="5"/>
  <c r="AI24" i="5"/>
  <c r="AH24" i="5"/>
  <c r="AI110" i="5"/>
  <c r="AH110" i="5"/>
  <c r="AI157" i="5"/>
  <c r="AH157" i="5"/>
  <c r="AI216" i="5"/>
  <c r="AH216" i="5"/>
  <c r="AH70" i="5"/>
  <c r="AI70" i="5"/>
  <c r="AH214" i="5"/>
  <c r="AI214" i="5"/>
  <c r="AI528" i="5"/>
  <c r="AH528" i="5"/>
  <c r="AI479" i="5"/>
  <c r="AH479" i="5"/>
  <c r="AI237" i="5"/>
  <c r="AH237" i="5"/>
  <c r="AI525" i="5"/>
  <c r="AH525" i="5"/>
  <c r="AI476" i="5"/>
  <c r="AH476" i="5"/>
  <c r="AI427" i="5"/>
  <c r="AH427" i="5"/>
  <c r="AI378" i="5"/>
  <c r="AH378" i="5"/>
  <c r="AI341" i="5"/>
  <c r="AH341" i="5"/>
  <c r="AI292" i="5"/>
  <c r="AH292" i="5"/>
  <c r="AI436" i="5"/>
  <c r="AH436" i="5"/>
  <c r="AI387" i="5"/>
  <c r="AH387" i="5"/>
  <c r="AH338" i="5"/>
  <c r="AI338" i="5"/>
  <c r="AI433" i="5"/>
  <c r="AH433" i="5"/>
  <c r="AP104" i="5"/>
  <c r="AP288" i="5"/>
  <c r="AQ288" i="5" s="1"/>
  <c r="AP55" i="5"/>
  <c r="AP34" i="5"/>
  <c r="AP197" i="5"/>
  <c r="AR197" i="5" s="1"/>
  <c r="AP214" i="5"/>
  <c r="AR214" i="5" s="1"/>
  <c r="AP273" i="5"/>
  <c r="AP335" i="5"/>
  <c r="AP422" i="5"/>
  <c r="AQ422" i="5" s="1"/>
  <c r="AP427" i="5"/>
  <c r="AI52" i="5"/>
  <c r="AH52" i="5"/>
  <c r="AI200" i="5"/>
  <c r="AH200" i="5"/>
  <c r="AI139" i="5"/>
  <c r="AH139" i="5"/>
  <c r="AI32" i="5"/>
  <c r="AH32" i="5"/>
  <c r="AI186" i="5"/>
  <c r="AH186" i="5"/>
  <c r="AI65" i="5"/>
  <c r="AH65" i="5"/>
  <c r="AI209" i="5"/>
  <c r="AH209" i="5"/>
  <c r="AI100" i="5"/>
  <c r="AH100" i="5"/>
  <c r="AI25" i="5"/>
  <c r="AH25" i="5"/>
  <c r="AI195" i="5"/>
  <c r="AH195" i="5"/>
  <c r="AI122" i="5"/>
  <c r="AH122" i="5"/>
  <c r="AI41" i="5"/>
  <c r="AH41" i="5"/>
  <c r="AI169" i="5"/>
  <c r="AH169" i="5"/>
  <c r="AI84" i="5"/>
  <c r="AH84" i="5"/>
  <c r="AI26" i="5"/>
  <c r="AH26" i="5"/>
  <c r="AH179" i="5"/>
  <c r="AI179" i="5"/>
  <c r="AH82" i="5"/>
  <c r="AI82" i="5"/>
  <c r="AI252" i="5"/>
  <c r="AH252" i="5"/>
  <c r="AI396" i="5"/>
  <c r="AH396" i="5"/>
  <c r="AI540" i="5"/>
  <c r="AH540" i="5"/>
  <c r="AI347" i="5"/>
  <c r="AH347" i="5"/>
  <c r="AI491" i="5"/>
  <c r="AH491" i="5"/>
  <c r="AI298" i="5"/>
  <c r="AH298" i="5"/>
  <c r="AI442" i="5"/>
  <c r="AH442" i="5"/>
  <c r="AI249" i="5"/>
  <c r="AH249" i="5"/>
  <c r="AI393" i="5"/>
  <c r="AH393" i="5"/>
  <c r="AI537" i="5"/>
  <c r="AH537" i="5"/>
  <c r="AI344" i="5"/>
  <c r="AH344" i="5"/>
  <c r="AI488" i="5"/>
  <c r="AH488" i="5"/>
  <c r="AI295" i="5"/>
  <c r="AH295" i="5"/>
  <c r="AI439" i="5"/>
  <c r="AH439" i="5"/>
  <c r="AI246" i="5"/>
  <c r="AH246" i="5"/>
  <c r="AI390" i="5"/>
  <c r="AH390" i="5"/>
  <c r="AI534" i="5"/>
  <c r="AH534" i="5"/>
  <c r="AI353" i="5"/>
  <c r="AH353" i="5"/>
  <c r="AI497" i="5"/>
  <c r="AH497" i="5"/>
  <c r="AI304" i="5"/>
  <c r="AH304" i="5"/>
  <c r="AI448" i="5"/>
  <c r="AH448" i="5"/>
  <c r="AI255" i="5"/>
  <c r="AH255" i="5"/>
  <c r="AI399" i="5"/>
  <c r="AH399" i="5"/>
  <c r="AI543" i="5"/>
  <c r="AH543" i="5"/>
  <c r="AH350" i="5"/>
  <c r="AI350" i="5"/>
  <c r="AH494" i="5"/>
  <c r="AI494" i="5"/>
  <c r="AI301" i="5"/>
  <c r="AH301" i="5"/>
  <c r="AI445" i="5"/>
  <c r="AH445" i="5"/>
  <c r="AI188" i="5"/>
  <c r="AH188" i="5"/>
  <c r="AI129" i="5"/>
  <c r="AH129" i="5"/>
  <c r="AI49" i="5"/>
  <c r="AH49" i="5"/>
  <c r="AI88" i="5"/>
  <c r="AH88" i="5"/>
  <c r="AI183" i="5"/>
  <c r="AH183" i="5"/>
  <c r="AI21" i="5"/>
  <c r="AH21" i="5"/>
  <c r="AI72" i="5"/>
  <c r="AH72" i="5"/>
  <c r="AH167" i="5"/>
  <c r="AI167" i="5"/>
  <c r="AI384" i="5"/>
  <c r="AH384" i="5"/>
  <c r="AI335" i="5"/>
  <c r="AH335" i="5"/>
  <c r="AI286" i="5"/>
  <c r="AH286" i="5"/>
  <c r="AI430" i="5"/>
  <c r="AH430" i="5"/>
  <c r="AI381" i="5"/>
  <c r="AH381" i="5"/>
  <c r="AI332" i="5"/>
  <c r="AH332" i="5"/>
  <c r="AI283" i="5"/>
  <c r="AH283" i="5"/>
  <c r="AI234" i="5"/>
  <c r="AH234" i="5"/>
  <c r="AI522" i="5"/>
  <c r="AH522" i="5"/>
  <c r="AI485" i="5"/>
  <c r="AH485" i="5"/>
  <c r="AI243" i="5"/>
  <c r="AH243" i="5"/>
  <c r="AI531" i="5"/>
  <c r="AH531" i="5"/>
  <c r="AH482" i="5"/>
  <c r="AI482" i="5"/>
  <c r="AI289" i="5"/>
  <c r="AH289" i="5"/>
  <c r="AP29" i="5"/>
  <c r="AR29" i="5" s="1"/>
  <c r="AP306" i="5"/>
  <c r="AR306" i="5" s="1"/>
  <c r="AP378" i="5"/>
  <c r="AP436" i="5"/>
  <c r="AP291" i="5"/>
  <c r="AR291" i="5" s="1"/>
  <c r="AP432" i="5"/>
  <c r="AQ432" i="5" s="1"/>
  <c r="AP557" i="5"/>
  <c r="AP431" i="5"/>
  <c r="AP479" i="5"/>
  <c r="AR479" i="5" s="1"/>
  <c r="AI68" i="5"/>
  <c r="AH68" i="5"/>
  <c r="AI212" i="5"/>
  <c r="AH212" i="5"/>
  <c r="AI151" i="5"/>
  <c r="AH151" i="5"/>
  <c r="AI50" i="5"/>
  <c r="AH50" i="5"/>
  <c r="AI198" i="5"/>
  <c r="AH198" i="5"/>
  <c r="AI77" i="5"/>
  <c r="AH77" i="5"/>
  <c r="AI221" i="5"/>
  <c r="AH221" i="5"/>
  <c r="AI112" i="5"/>
  <c r="AH112" i="5"/>
  <c r="AI28" i="5"/>
  <c r="AH28" i="5"/>
  <c r="AI207" i="5"/>
  <c r="AH207" i="5"/>
  <c r="AI134" i="5"/>
  <c r="AH134" i="5"/>
  <c r="AI59" i="5"/>
  <c r="AH59" i="5"/>
  <c r="AI181" i="5"/>
  <c r="AH181" i="5"/>
  <c r="AI96" i="5"/>
  <c r="AH96" i="5"/>
  <c r="AH39" i="5"/>
  <c r="AI39" i="5"/>
  <c r="AH191" i="5"/>
  <c r="AI191" i="5"/>
  <c r="AH94" i="5"/>
  <c r="AI94" i="5"/>
  <c r="AI264" i="5"/>
  <c r="AH264" i="5"/>
  <c r="AI408" i="5"/>
  <c r="AH408" i="5"/>
  <c r="AI552" i="5"/>
  <c r="AH552" i="5"/>
  <c r="AI359" i="5"/>
  <c r="AH359" i="5"/>
  <c r="AI503" i="5"/>
  <c r="AH503" i="5"/>
  <c r="AI310" i="5"/>
  <c r="AH310" i="5"/>
  <c r="AI454" i="5"/>
  <c r="AH454" i="5"/>
  <c r="AI261" i="5"/>
  <c r="AH261" i="5"/>
  <c r="AI405" i="5"/>
  <c r="AH405" i="5"/>
  <c r="AI549" i="5"/>
  <c r="AH549" i="5"/>
  <c r="AI356" i="5"/>
  <c r="AH356" i="5"/>
  <c r="AI500" i="5"/>
  <c r="AH500" i="5"/>
  <c r="AI307" i="5"/>
  <c r="AH307" i="5"/>
  <c r="AI451" i="5"/>
  <c r="AH451" i="5"/>
  <c r="AI258" i="5"/>
  <c r="AH258" i="5"/>
  <c r="AI402" i="5"/>
  <c r="AH402" i="5"/>
  <c r="AI546" i="5"/>
  <c r="AH546" i="5"/>
  <c r="AI365" i="5"/>
  <c r="AH365" i="5"/>
  <c r="AI509" i="5"/>
  <c r="AH509" i="5"/>
  <c r="AI316" i="5"/>
  <c r="AH316" i="5"/>
  <c r="AI460" i="5"/>
  <c r="AH460" i="5"/>
  <c r="AI267" i="5"/>
  <c r="AH267" i="5"/>
  <c r="AI411" i="5"/>
  <c r="AH411" i="5"/>
  <c r="AI555" i="5"/>
  <c r="AH555" i="5"/>
  <c r="AH362" i="5"/>
  <c r="AI362" i="5"/>
  <c r="AH506" i="5"/>
  <c r="AI506" i="5"/>
  <c r="AI313" i="5"/>
  <c r="AH313" i="5"/>
  <c r="AI457" i="5"/>
  <c r="AH457" i="5"/>
  <c r="AP460" i="5"/>
  <c r="AP531" i="5"/>
  <c r="AR531" i="5" s="1"/>
  <c r="AI80" i="5"/>
  <c r="AH80" i="5"/>
  <c r="AI240" i="5"/>
  <c r="AH240" i="5"/>
  <c r="AI163" i="5"/>
  <c r="AH163" i="5"/>
  <c r="AI66" i="5"/>
  <c r="AH66" i="5"/>
  <c r="AI210" i="5"/>
  <c r="AH210" i="5"/>
  <c r="AI89" i="5"/>
  <c r="AH89" i="5"/>
  <c r="AI36" i="5"/>
  <c r="AH36" i="5"/>
  <c r="AI124" i="5"/>
  <c r="AH124" i="5"/>
  <c r="AI63" i="5"/>
  <c r="AH63" i="5"/>
  <c r="AI219" i="5"/>
  <c r="AH219" i="5"/>
  <c r="AI146" i="5"/>
  <c r="AH146" i="5"/>
  <c r="AI60" i="5"/>
  <c r="AH60" i="5"/>
  <c r="AI193" i="5"/>
  <c r="AH193" i="5"/>
  <c r="AI108" i="5"/>
  <c r="AH108" i="5"/>
  <c r="AH57" i="5"/>
  <c r="AI57" i="5"/>
  <c r="AH203" i="5"/>
  <c r="AI203" i="5"/>
  <c r="AH106" i="5"/>
  <c r="AI106" i="5"/>
  <c r="AI276" i="5"/>
  <c r="AH276" i="5"/>
  <c r="AI420" i="5"/>
  <c r="AH420" i="5"/>
  <c r="AI227" i="5"/>
  <c r="AH227" i="5"/>
  <c r="AI371" i="5"/>
  <c r="AH371" i="5"/>
  <c r="AI515" i="5"/>
  <c r="AH515" i="5"/>
  <c r="AI322" i="5"/>
  <c r="AH322" i="5"/>
  <c r="AI466" i="5"/>
  <c r="AH466" i="5"/>
  <c r="AI273" i="5"/>
  <c r="AH273" i="5"/>
  <c r="AI417" i="5"/>
  <c r="AH417" i="5"/>
  <c r="AH224" i="5"/>
  <c r="AI224" i="5"/>
  <c r="AI368" i="5"/>
  <c r="AH368" i="5"/>
  <c r="AI512" i="5"/>
  <c r="AH512" i="5"/>
  <c r="AI319" i="5"/>
  <c r="AH319" i="5"/>
  <c r="AI463" i="5"/>
  <c r="AH463" i="5"/>
  <c r="AI270" i="5"/>
  <c r="AH270" i="5"/>
  <c r="AI414" i="5"/>
  <c r="AH414" i="5"/>
  <c r="AI558" i="5"/>
  <c r="AH558" i="5"/>
  <c r="AI377" i="5"/>
  <c r="AH377" i="5"/>
  <c r="AI521" i="5"/>
  <c r="AH521" i="5"/>
  <c r="AI328" i="5"/>
  <c r="AH328" i="5"/>
  <c r="AI472" i="5"/>
  <c r="AH472" i="5"/>
  <c r="AI279" i="5"/>
  <c r="AH279" i="5"/>
  <c r="AI423" i="5"/>
  <c r="AH423" i="5"/>
  <c r="AH230" i="5"/>
  <c r="AI230" i="5"/>
  <c r="AH374" i="5"/>
  <c r="AI374" i="5"/>
  <c r="AH518" i="5"/>
  <c r="AI518" i="5"/>
  <c r="AI325" i="5"/>
  <c r="AH325" i="5"/>
  <c r="AI469" i="5"/>
  <c r="AH469" i="5"/>
  <c r="AP70" i="5"/>
  <c r="AI92" i="5"/>
  <c r="AH92" i="5"/>
  <c r="AI33" i="5"/>
  <c r="AH33" i="5"/>
  <c r="AI175" i="5"/>
  <c r="AH175" i="5"/>
  <c r="AI78" i="5"/>
  <c r="AH78" i="5"/>
  <c r="AI233" i="5"/>
  <c r="AH233" i="5"/>
  <c r="AI101" i="5"/>
  <c r="AH101" i="5"/>
  <c r="AI93" i="5"/>
  <c r="AH93" i="5"/>
  <c r="AI136" i="5"/>
  <c r="AH136" i="5"/>
  <c r="AI75" i="5"/>
  <c r="AH75" i="5"/>
  <c r="AI43" i="5"/>
  <c r="AH43" i="5"/>
  <c r="AI158" i="5"/>
  <c r="AH158" i="5"/>
  <c r="AI61" i="5"/>
  <c r="AH61" i="5"/>
  <c r="AI205" i="5"/>
  <c r="AH205" i="5"/>
  <c r="AI120" i="5"/>
  <c r="AH120" i="5"/>
  <c r="AH71" i="5"/>
  <c r="AI71" i="5"/>
  <c r="AH215" i="5"/>
  <c r="AI215" i="5"/>
  <c r="AI118" i="5"/>
  <c r="AH118" i="5"/>
  <c r="AI288" i="5"/>
  <c r="AH288" i="5"/>
  <c r="AI432" i="5"/>
  <c r="AH432" i="5"/>
  <c r="AI239" i="5"/>
  <c r="AH239" i="5"/>
  <c r="AI383" i="5"/>
  <c r="AH383" i="5"/>
  <c r="AI527" i="5"/>
  <c r="AH527" i="5"/>
  <c r="AI334" i="5"/>
  <c r="AH334" i="5"/>
  <c r="AI478" i="5"/>
  <c r="AH478" i="5"/>
  <c r="AI285" i="5"/>
  <c r="AH285" i="5"/>
  <c r="AI429" i="5"/>
  <c r="AH429" i="5"/>
  <c r="AI236" i="5"/>
  <c r="AH236" i="5"/>
  <c r="AI380" i="5"/>
  <c r="AH380" i="5"/>
  <c r="AI524" i="5"/>
  <c r="AH524" i="5"/>
  <c r="AI331" i="5"/>
  <c r="AH331" i="5"/>
  <c r="AI475" i="5"/>
  <c r="AH475" i="5"/>
  <c r="AI282" i="5"/>
  <c r="AH282" i="5"/>
  <c r="AI426" i="5"/>
  <c r="AH426" i="5"/>
  <c r="AI245" i="5"/>
  <c r="AH245" i="5"/>
  <c r="AI389" i="5"/>
  <c r="AH389" i="5"/>
  <c r="AI533" i="5"/>
  <c r="AH533" i="5"/>
  <c r="AI340" i="5"/>
  <c r="AH340" i="5"/>
  <c r="AI484" i="5"/>
  <c r="AH484" i="5"/>
  <c r="AI291" i="5"/>
  <c r="AH291" i="5"/>
  <c r="AI435" i="5"/>
  <c r="AH435" i="5"/>
  <c r="AH242" i="5"/>
  <c r="AI242" i="5"/>
  <c r="AH386" i="5"/>
  <c r="AI386" i="5"/>
  <c r="AH530" i="5"/>
  <c r="AI530" i="5"/>
  <c r="AI337" i="5"/>
  <c r="AH337" i="5"/>
  <c r="AI481" i="5"/>
  <c r="AH481" i="5"/>
  <c r="AP264" i="5"/>
  <c r="AP145" i="5"/>
  <c r="AP341" i="5"/>
  <c r="AQ341" i="5" s="1"/>
  <c r="AP332" i="5"/>
  <c r="AP303" i="5"/>
  <c r="AI104" i="5"/>
  <c r="AH104" i="5"/>
  <c r="AI34" i="5"/>
  <c r="AH34" i="5"/>
  <c r="AI187" i="5"/>
  <c r="AH187" i="5"/>
  <c r="AI90" i="5"/>
  <c r="AH90" i="5"/>
  <c r="AI53" i="5"/>
  <c r="AH53" i="5"/>
  <c r="AI113" i="5"/>
  <c r="AH113" i="5"/>
  <c r="AI29" i="5"/>
  <c r="AH29" i="5"/>
  <c r="AI148" i="5"/>
  <c r="AH148" i="5"/>
  <c r="AI87" i="5"/>
  <c r="AH87" i="5"/>
  <c r="AI22" i="5"/>
  <c r="AH22" i="5"/>
  <c r="AI170" i="5"/>
  <c r="AH170" i="5"/>
  <c r="AI73" i="5"/>
  <c r="AH73" i="5"/>
  <c r="AI217" i="5"/>
  <c r="AH217" i="5"/>
  <c r="AI132" i="5"/>
  <c r="AH132" i="5"/>
  <c r="AH83" i="5"/>
  <c r="AI83" i="5"/>
  <c r="AI27" i="5"/>
  <c r="AH27" i="5"/>
  <c r="AI130" i="5"/>
  <c r="AH130" i="5"/>
  <c r="AI300" i="5"/>
  <c r="AH300" i="5"/>
  <c r="AI444" i="5"/>
  <c r="AH444" i="5"/>
  <c r="AI251" i="5"/>
  <c r="AH251" i="5"/>
  <c r="AI395" i="5"/>
  <c r="AH395" i="5"/>
  <c r="AI539" i="5"/>
  <c r="AH539" i="5"/>
  <c r="AI346" i="5"/>
  <c r="AH346" i="5"/>
  <c r="AI490" i="5"/>
  <c r="AH490" i="5"/>
  <c r="AI297" i="5"/>
  <c r="AH297" i="5"/>
  <c r="AI441" i="5"/>
  <c r="AH441" i="5"/>
  <c r="AI248" i="5"/>
  <c r="AH248" i="5"/>
  <c r="AI392" i="5"/>
  <c r="AH392" i="5"/>
  <c r="AI536" i="5"/>
  <c r="AH536" i="5"/>
  <c r="AI343" i="5"/>
  <c r="AH343" i="5"/>
  <c r="AI487" i="5"/>
  <c r="AH487" i="5"/>
  <c r="AI294" i="5"/>
  <c r="AH294" i="5"/>
  <c r="AI438" i="5"/>
  <c r="AH438" i="5"/>
  <c r="AI257" i="5"/>
  <c r="AH257" i="5"/>
  <c r="AI401" i="5"/>
  <c r="AH401" i="5"/>
  <c r="AI545" i="5"/>
  <c r="AH545" i="5"/>
  <c r="AI352" i="5"/>
  <c r="AH352" i="5"/>
  <c r="AI496" i="5"/>
  <c r="AH496" i="5"/>
  <c r="AI303" i="5"/>
  <c r="AH303" i="5"/>
  <c r="AI447" i="5"/>
  <c r="AH447" i="5"/>
  <c r="AH254" i="5"/>
  <c r="AI254" i="5"/>
  <c r="AH398" i="5"/>
  <c r="AI398" i="5"/>
  <c r="AH542" i="5"/>
  <c r="AI542" i="5"/>
  <c r="AI349" i="5"/>
  <c r="AH349" i="5"/>
  <c r="AI493" i="5"/>
  <c r="AH493" i="5"/>
  <c r="AP244" i="5"/>
  <c r="AQ244" i="5" s="1"/>
  <c r="AP72" i="5"/>
  <c r="AP21" i="5"/>
  <c r="AP174" i="5"/>
  <c r="AQ174" i="5" s="1"/>
  <c r="AP129" i="5"/>
  <c r="AP240" i="5"/>
  <c r="AP338" i="5"/>
  <c r="AP313" i="5"/>
  <c r="AR313" i="5" s="1"/>
  <c r="AP450" i="5"/>
  <c r="AQ450" i="5" s="1"/>
  <c r="AP430" i="5"/>
  <c r="AI8" i="5"/>
  <c r="AH8" i="5"/>
  <c r="AI116" i="5"/>
  <c r="AH116" i="5"/>
  <c r="AI51" i="5"/>
  <c r="AH51" i="5"/>
  <c r="AI199" i="5"/>
  <c r="AH199" i="5"/>
  <c r="AI102" i="5"/>
  <c r="AH102" i="5"/>
  <c r="AI117" i="5"/>
  <c r="AH117" i="5"/>
  <c r="AI125" i="5"/>
  <c r="AH125" i="5"/>
  <c r="AI30" i="5"/>
  <c r="AH30" i="5"/>
  <c r="AI160" i="5"/>
  <c r="AH160" i="5"/>
  <c r="AI99" i="5"/>
  <c r="AH99" i="5"/>
  <c r="AI23" i="5"/>
  <c r="AH23" i="5"/>
  <c r="AI182" i="5"/>
  <c r="AH182" i="5"/>
  <c r="AI85" i="5"/>
  <c r="AH85" i="5"/>
  <c r="AI228" i="5"/>
  <c r="AH228" i="5"/>
  <c r="AI144" i="5"/>
  <c r="AH144" i="5"/>
  <c r="AH95" i="5"/>
  <c r="AI95" i="5"/>
  <c r="AH9" i="5"/>
  <c r="AI9" i="5"/>
  <c r="AI142" i="5"/>
  <c r="AH142" i="5"/>
  <c r="AI312" i="5"/>
  <c r="AH312" i="5"/>
  <c r="AI456" i="5"/>
  <c r="AH456" i="5"/>
  <c r="AI263" i="5"/>
  <c r="AH263" i="5"/>
  <c r="AI407" i="5"/>
  <c r="AH407" i="5"/>
  <c r="AI551" i="5"/>
  <c r="AH551" i="5"/>
  <c r="AI358" i="5"/>
  <c r="AH358" i="5"/>
  <c r="AI502" i="5"/>
  <c r="AH502" i="5"/>
  <c r="AI309" i="5"/>
  <c r="AH309" i="5"/>
  <c r="AI453" i="5"/>
  <c r="AH453" i="5"/>
  <c r="AI260" i="5"/>
  <c r="AH260" i="5"/>
  <c r="AI404" i="5"/>
  <c r="AH404" i="5"/>
  <c r="AI548" i="5"/>
  <c r="AH548" i="5"/>
  <c r="AI355" i="5"/>
  <c r="AH355" i="5"/>
  <c r="AI499" i="5"/>
  <c r="AH499" i="5"/>
  <c r="AI306" i="5"/>
  <c r="AH306" i="5"/>
  <c r="AI450" i="5"/>
  <c r="AH450" i="5"/>
  <c r="AI269" i="5"/>
  <c r="AH269" i="5"/>
  <c r="AI413" i="5"/>
  <c r="AH413" i="5"/>
  <c r="AI557" i="5"/>
  <c r="AH557" i="5"/>
  <c r="AI364" i="5"/>
  <c r="AH364" i="5"/>
  <c r="AI508" i="5"/>
  <c r="AH508" i="5"/>
  <c r="AI315" i="5"/>
  <c r="AH315" i="5"/>
  <c r="AI459" i="5"/>
  <c r="AH459" i="5"/>
  <c r="AH266" i="5"/>
  <c r="AI266" i="5"/>
  <c r="AH410" i="5"/>
  <c r="AI410" i="5"/>
  <c r="AH554" i="5"/>
  <c r="AI554" i="5"/>
  <c r="AI361" i="5"/>
  <c r="AH361" i="5"/>
  <c r="AI505" i="5"/>
  <c r="AH505" i="5"/>
  <c r="AP13" i="5"/>
  <c r="AP40" i="5"/>
  <c r="AQ40" i="5" s="1"/>
  <c r="AP346" i="5"/>
  <c r="AQ346" i="5" s="1"/>
  <c r="AP184" i="5"/>
  <c r="AP263" i="5"/>
  <c r="AP433" i="5"/>
  <c r="AR433" i="5" s="1"/>
  <c r="AP476" i="5"/>
  <c r="AR476" i="5" s="1"/>
  <c r="AP403" i="5"/>
  <c r="AP547" i="5"/>
  <c r="AI153" i="5"/>
  <c r="AH153" i="5"/>
  <c r="AI128" i="5"/>
  <c r="AH128" i="5"/>
  <c r="AI67" i="5"/>
  <c r="AH67" i="5"/>
  <c r="AI211" i="5"/>
  <c r="AH211" i="5"/>
  <c r="AI114" i="5"/>
  <c r="AH114" i="5"/>
  <c r="AI141" i="5"/>
  <c r="AH141" i="5"/>
  <c r="AI137" i="5"/>
  <c r="AH137" i="5"/>
  <c r="AI46" i="5"/>
  <c r="AH46" i="5"/>
  <c r="AI172" i="5"/>
  <c r="AH172" i="5"/>
  <c r="AI111" i="5"/>
  <c r="AH111" i="5"/>
  <c r="AI42" i="5"/>
  <c r="AH42" i="5"/>
  <c r="AI194" i="5"/>
  <c r="AH194" i="5"/>
  <c r="AI97" i="5"/>
  <c r="AH97" i="5"/>
  <c r="AI45" i="5"/>
  <c r="AH45" i="5"/>
  <c r="AI156" i="5"/>
  <c r="AH156" i="5"/>
  <c r="AH107" i="5"/>
  <c r="AI107" i="5"/>
  <c r="AH37" i="5"/>
  <c r="AI37" i="5"/>
  <c r="AH154" i="5"/>
  <c r="AI154" i="5"/>
  <c r="AI324" i="5"/>
  <c r="AH324" i="5"/>
  <c r="AI468" i="5"/>
  <c r="AH468" i="5"/>
  <c r="AI275" i="5"/>
  <c r="AH275" i="5"/>
  <c r="AI419" i="5"/>
  <c r="AH419" i="5"/>
  <c r="AI226" i="5"/>
  <c r="AH226" i="5"/>
  <c r="AI370" i="5"/>
  <c r="AH370" i="5"/>
  <c r="AI514" i="5"/>
  <c r="AH514" i="5"/>
  <c r="AI321" i="5"/>
  <c r="AH321" i="5"/>
  <c r="AI465" i="5"/>
  <c r="AH465" i="5"/>
  <c r="AI272" i="5"/>
  <c r="AH272" i="5"/>
  <c r="AI416" i="5"/>
  <c r="AH416" i="5"/>
  <c r="AI560" i="5"/>
  <c r="AH560" i="5"/>
  <c r="AI367" i="5"/>
  <c r="AH367" i="5"/>
  <c r="AI511" i="5"/>
  <c r="AH511" i="5"/>
  <c r="AI318" i="5"/>
  <c r="AH318" i="5"/>
  <c r="AI462" i="5"/>
  <c r="AH462" i="5"/>
  <c r="AI281" i="5"/>
  <c r="AH281" i="5"/>
  <c r="AI425" i="5"/>
  <c r="AH425" i="5"/>
  <c r="AI232" i="5"/>
  <c r="AH232" i="5"/>
  <c r="AI376" i="5"/>
  <c r="AH376" i="5"/>
  <c r="AI520" i="5"/>
  <c r="AH520" i="5"/>
  <c r="AI327" i="5"/>
  <c r="AH327" i="5"/>
  <c r="AI471" i="5"/>
  <c r="AH471" i="5"/>
  <c r="AH278" i="5"/>
  <c r="AI278" i="5"/>
  <c r="AH422" i="5"/>
  <c r="AI422" i="5"/>
  <c r="AI229" i="5"/>
  <c r="AH229" i="5"/>
  <c r="AI373" i="5"/>
  <c r="AH373" i="5"/>
  <c r="AI517" i="5"/>
  <c r="AH517" i="5"/>
  <c r="AP80" i="5"/>
  <c r="AQ80" i="5" s="1"/>
  <c r="AP35" i="5"/>
  <c r="AR35" i="5" s="1"/>
  <c r="AP31" i="5"/>
  <c r="AP127" i="5"/>
  <c r="AP183" i="5"/>
  <c r="AR183" i="5" s="1"/>
  <c r="AP30" i="5"/>
  <c r="AP381" i="5"/>
  <c r="AP522" i="5"/>
  <c r="AP485" i="5"/>
  <c r="AR485" i="5" s="1"/>
  <c r="AP528" i="5"/>
  <c r="AR528" i="5" s="1"/>
  <c r="AI165" i="5"/>
  <c r="AH165" i="5"/>
  <c r="AI140" i="5"/>
  <c r="AH140" i="5"/>
  <c r="AI79" i="5"/>
  <c r="AH79" i="5"/>
  <c r="AI222" i="5"/>
  <c r="AH222" i="5"/>
  <c r="AI126" i="5"/>
  <c r="AH126" i="5"/>
  <c r="AI177" i="5"/>
  <c r="AH177" i="5"/>
  <c r="AI149" i="5"/>
  <c r="AH149" i="5"/>
  <c r="AH47" i="5"/>
  <c r="AI47" i="5"/>
  <c r="AI184" i="5"/>
  <c r="AH184" i="5"/>
  <c r="AI135" i="5"/>
  <c r="AH135" i="5"/>
  <c r="AI62" i="5"/>
  <c r="AH62" i="5"/>
  <c r="AI206" i="5"/>
  <c r="AH206" i="5"/>
  <c r="AI109" i="5"/>
  <c r="AH109" i="5"/>
  <c r="AI19" i="5"/>
  <c r="AH19" i="5"/>
  <c r="AI168" i="5"/>
  <c r="AH168" i="5"/>
  <c r="AH119" i="5"/>
  <c r="AI119" i="5"/>
  <c r="AI38" i="5"/>
  <c r="AH38" i="5"/>
  <c r="AH166" i="5"/>
  <c r="AI166" i="5"/>
  <c r="AI336" i="5"/>
  <c r="AH336" i="5"/>
  <c r="AI480" i="5"/>
  <c r="AH480" i="5"/>
  <c r="AI287" i="5"/>
  <c r="AH287" i="5"/>
  <c r="AI431" i="5"/>
  <c r="AH431" i="5"/>
  <c r="AI238" i="5"/>
  <c r="AH238" i="5"/>
  <c r="AI382" i="5"/>
  <c r="AH382" i="5"/>
  <c r="AI526" i="5"/>
  <c r="AH526" i="5"/>
  <c r="AI333" i="5"/>
  <c r="AH333" i="5"/>
  <c r="AI477" i="5"/>
  <c r="AH477" i="5"/>
  <c r="AI284" i="5"/>
  <c r="AH284" i="5"/>
  <c r="AI428" i="5"/>
  <c r="AH428" i="5"/>
  <c r="AI235" i="5"/>
  <c r="AH235" i="5"/>
  <c r="AI379" i="5"/>
  <c r="AH379" i="5"/>
  <c r="AI523" i="5"/>
  <c r="AH523" i="5"/>
  <c r="AI330" i="5"/>
  <c r="AH330" i="5"/>
  <c r="AI474" i="5"/>
  <c r="AH474" i="5"/>
  <c r="AI293" i="5"/>
  <c r="AH293" i="5"/>
  <c r="AI437" i="5"/>
  <c r="AH437" i="5"/>
  <c r="AI244" i="5"/>
  <c r="AH244" i="5"/>
  <c r="AI388" i="5"/>
  <c r="AH388" i="5"/>
  <c r="AI532" i="5"/>
  <c r="AH532" i="5"/>
  <c r="AI339" i="5"/>
  <c r="AH339" i="5"/>
  <c r="AI483" i="5"/>
  <c r="AH483" i="5"/>
  <c r="AH290" i="5"/>
  <c r="AI290" i="5"/>
  <c r="AH434" i="5"/>
  <c r="AI434" i="5"/>
  <c r="AI241" i="5"/>
  <c r="AH241" i="5"/>
  <c r="AI385" i="5"/>
  <c r="AH385" i="5"/>
  <c r="AI529" i="5"/>
  <c r="AH529" i="5"/>
  <c r="AP209" i="5"/>
  <c r="AP57" i="5"/>
  <c r="AP271" i="5"/>
  <c r="AQ271" i="5" s="1"/>
  <c r="AP526" i="5"/>
  <c r="AR526" i="5" s="1"/>
  <c r="AP441" i="5"/>
  <c r="AP507" i="5"/>
  <c r="AI201" i="5"/>
  <c r="AH201" i="5"/>
  <c r="AI152" i="5"/>
  <c r="AH152" i="5"/>
  <c r="AI91" i="5"/>
  <c r="AH91" i="5"/>
  <c r="AI69" i="5"/>
  <c r="AH69" i="5"/>
  <c r="AI138" i="5"/>
  <c r="AH138" i="5"/>
  <c r="AI189" i="5"/>
  <c r="AH189" i="5"/>
  <c r="AI161" i="5"/>
  <c r="AH161" i="5"/>
  <c r="AH48" i="5"/>
  <c r="AI48" i="5"/>
  <c r="AI196" i="5"/>
  <c r="AH196" i="5"/>
  <c r="AI147" i="5"/>
  <c r="AH147" i="5"/>
  <c r="AI74" i="5"/>
  <c r="AH74" i="5"/>
  <c r="AI218" i="5"/>
  <c r="AH218" i="5"/>
  <c r="AI121" i="5"/>
  <c r="AH121" i="5"/>
  <c r="AI20" i="5"/>
  <c r="AH20" i="5"/>
  <c r="AI180" i="5"/>
  <c r="AH180" i="5"/>
  <c r="AH131" i="5"/>
  <c r="AI131" i="5"/>
  <c r="AI54" i="5"/>
  <c r="AH54" i="5"/>
  <c r="AH178" i="5"/>
  <c r="AI178" i="5"/>
  <c r="AI348" i="5"/>
  <c r="AH348" i="5"/>
  <c r="AI492" i="5"/>
  <c r="AH492" i="5"/>
  <c r="AI299" i="5"/>
  <c r="AH299" i="5"/>
  <c r="AI443" i="5"/>
  <c r="AH443" i="5"/>
  <c r="AI250" i="5"/>
  <c r="AH250" i="5"/>
  <c r="AI394" i="5"/>
  <c r="AH394" i="5"/>
  <c r="AI538" i="5"/>
  <c r="AH538" i="5"/>
  <c r="AI345" i="5"/>
  <c r="AH345" i="5"/>
  <c r="AI489" i="5"/>
  <c r="AH489" i="5"/>
  <c r="AI296" i="5"/>
  <c r="AH296" i="5"/>
  <c r="AI440" i="5"/>
  <c r="AH440" i="5"/>
  <c r="AI247" i="5"/>
  <c r="AH247" i="5"/>
  <c r="AI391" i="5"/>
  <c r="AH391" i="5"/>
  <c r="AI535" i="5"/>
  <c r="AH535" i="5"/>
  <c r="AI342" i="5"/>
  <c r="AH342" i="5"/>
  <c r="AI486" i="5"/>
  <c r="AH486" i="5"/>
  <c r="AI305" i="5"/>
  <c r="AH305" i="5"/>
  <c r="AI449" i="5"/>
  <c r="AH449" i="5"/>
  <c r="AI256" i="5"/>
  <c r="AH256" i="5"/>
  <c r="AI400" i="5"/>
  <c r="AH400" i="5"/>
  <c r="AI544" i="5"/>
  <c r="AH544" i="5"/>
  <c r="AI351" i="5"/>
  <c r="AH351" i="5"/>
  <c r="AI495" i="5"/>
  <c r="AH495" i="5"/>
  <c r="AH302" i="5"/>
  <c r="AI302" i="5"/>
  <c r="AH446" i="5"/>
  <c r="AI446" i="5"/>
  <c r="AI253" i="5"/>
  <c r="AH253" i="5"/>
  <c r="AI397" i="5"/>
  <c r="AH397" i="5"/>
  <c r="AI541" i="5"/>
  <c r="AH541" i="5"/>
  <c r="AP268" i="5"/>
  <c r="AQ268" i="5" s="1"/>
  <c r="AP88" i="5"/>
  <c r="AQ88" i="5" s="1"/>
  <c r="AP42" i="5"/>
  <c r="AP157" i="5"/>
  <c r="AP234" i="5"/>
  <c r="AR234" i="5" s="1"/>
  <c r="AP151" i="5"/>
  <c r="AR151" i="5" s="1"/>
  <c r="AP110" i="5"/>
  <c r="AP482" i="5"/>
  <c r="AP445" i="5"/>
  <c r="AQ445" i="5" s="1"/>
  <c r="AI223" i="5"/>
  <c r="AH223" i="5"/>
  <c r="AI164" i="5"/>
  <c r="AH164" i="5"/>
  <c r="AI103" i="5"/>
  <c r="AH103" i="5"/>
  <c r="AI81" i="5"/>
  <c r="AH81" i="5"/>
  <c r="AI150" i="5"/>
  <c r="AH150" i="5"/>
  <c r="AI213" i="5"/>
  <c r="AH213" i="5"/>
  <c r="AI173" i="5"/>
  <c r="AH173" i="5"/>
  <c r="AI64" i="5"/>
  <c r="AH64" i="5"/>
  <c r="AI208" i="5"/>
  <c r="AH208" i="5"/>
  <c r="AI159" i="5"/>
  <c r="AH159" i="5"/>
  <c r="AI86" i="5"/>
  <c r="AH86" i="5"/>
  <c r="AI44" i="5"/>
  <c r="AH44" i="5"/>
  <c r="AI133" i="5"/>
  <c r="AH133" i="5"/>
  <c r="AI40" i="5"/>
  <c r="AH40" i="5"/>
  <c r="AI192" i="5"/>
  <c r="AH192" i="5"/>
  <c r="AH143" i="5"/>
  <c r="AI143" i="5"/>
  <c r="AH55" i="5"/>
  <c r="AI55" i="5"/>
  <c r="AI190" i="5"/>
  <c r="AH190" i="5"/>
  <c r="AI360" i="5"/>
  <c r="AH360" i="5"/>
  <c r="AI504" i="5"/>
  <c r="AH504" i="5"/>
  <c r="AI311" i="5"/>
  <c r="AH311" i="5"/>
  <c r="AI455" i="5"/>
  <c r="AH455" i="5"/>
  <c r="AI262" i="5"/>
  <c r="AH262" i="5"/>
  <c r="AI406" i="5"/>
  <c r="AH406" i="5"/>
  <c r="AI550" i="5"/>
  <c r="AH550" i="5"/>
  <c r="AI357" i="5"/>
  <c r="AH357" i="5"/>
  <c r="AI501" i="5"/>
  <c r="AH501" i="5"/>
  <c r="AI308" i="5"/>
  <c r="AH308" i="5"/>
  <c r="AI452" i="5"/>
  <c r="AH452" i="5"/>
  <c r="AI259" i="5"/>
  <c r="AH259" i="5"/>
  <c r="AI403" i="5"/>
  <c r="AH403" i="5"/>
  <c r="AI547" i="5"/>
  <c r="AH547" i="5"/>
  <c r="AI354" i="5"/>
  <c r="AH354" i="5"/>
  <c r="AI498" i="5"/>
  <c r="AH498" i="5"/>
  <c r="AI317" i="5"/>
  <c r="AH317" i="5"/>
  <c r="AI461" i="5"/>
  <c r="AH461" i="5"/>
  <c r="AI268" i="5"/>
  <c r="AH268" i="5"/>
  <c r="AI412" i="5"/>
  <c r="AH412" i="5"/>
  <c r="AI556" i="5"/>
  <c r="AH556" i="5"/>
  <c r="AI363" i="5"/>
  <c r="AH363" i="5"/>
  <c r="AI507" i="5"/>
  <c r="AH507" i="5"/>
  <c r="AH314" i="5"/>
  <c r="AI314" i="5"/>
  <c r="AH458" i="5"/>
  <c r="AI458" i="5"/>
  <c r="AI265" i="5"/>
  <c r="AH265" i="5"/>
  <c r="AI409" i="5"/>
  <c r="AH409" i="5"/>
  <c r="AI553" i="5"/>
  <c r="AH553" i="5"/>
  <c r="AO139" i="5"/>
  <c r="AN139" i="5"/>
  <c r="AO188" i="5"/>
  <c r="AN188" i="5"/>
  <c r="AN372" i="5"/>
  <c r="AO372" i="5"/>
  <c r="AN506" i="5"/>
  <c r="AO506" i="5"/>
  <c r="AP24" i="5"/>
  <c r="AQ24" i="5" s="1"/>
  <c r="AP9" i="5"/>
  <c r="AR9" i="5" s="1"/>
  <c r="AP115" i="5"/>
  <c r="AQ115" i="5" s="1"/>
  <c r="AP355" i="5"/>
  <c r="AR355" i="5" s="1"/>
  <c r="AP466" i="5"/>
  <c r="AQ466" i="5" s="1"/>
  <c r="AP525" i="5"/>
  <c r="AP447" i="5"/>
  <c r="AO46" i="5"/>
  <c r="AN46" i="5"/>
  <c r="AO168" i="5"/>
  <c r="AN168" i="5"/>
  <c r="AO97" i="5"/>
  <c r="AN97" i="5"/>
  <c r="AO124" i="5"/>
  <c r="AN124" i="5"/>
  <c r="AO69" i="5"/>
  <c r="AN69" i="5"/>
  <c r="AO108" i="5"/>
  <c r="AN108" i="5"/>
  <c r="AO91" i="5"/>
  <c r="AN91" i="5"/>
  <c r="AN102" i="5"/>
  <c r="AO102" i="5"/>
  <c r="AO56" i="5"/>
  <c r="AN56" i="5"/>
  <c r="AO223" i="5"/>
  <c r="AN223" i="5"/>
  <c r="AN138" i="5"/>
  <c r="AO138" i="5"/>
  <c r="AN127" i="5"/>
  <c r="AO127" i="5"/>
  <c r="AO218" i="5"/>
  <c r="AN218" i="5"/>
  <c r="AN254" i="5"/>
  <c r="AO254" i="5"/>
  <c r="AO159" i="5"/>
  <c r="AN159" i="5"/>
  <c r="AO176" i="5"/>
  <c r="AN176" i="5"/>
  <c r="AO217" i="5"/>
  <c r="AN217" i="5"/>
  <c r="AO174" i="5"/>
  <c r="AN174" i="5"/>
  <c r="AO215" i="5"/>
  <c r="AN215" i="5"/>
  <c r="AN177" i="5"/>
  <c r="AO177" i="5"/>
  <c r="AO274" i="5"/>
  <c r="AN274" i="5"/>
  <c r="AO260" i="5"/>
  <c r="AN260" i="5"/>
  <c r="AO241" i="5"/>
  <c r="AN241" i="5"/>
  <c r="AO385" i="5"/>
  <c r="AN385" i="5"/>
  <c r="AO378" i="5"/>
  <c r="AN378" i="5"/>
  <c r="AO335" i="5"/>
  <c r="AN335" i="5"/>
  <c r="AO340" i="5"/>
  <c r="AN340" i="5"/>
  <c r="AO345" i="5"/>
  <c r="AN345" i="5"/>
  <c r="AO362" i="5"/>
  <c r="AN362" i="5"/>
  <c r="AO343" i="5"/>
  <c r="AN343" i="5"/>
  <c r="AN360" i="5"/>
  <c r="AO360" i="5"/>
  <c r="AN365" i="5"/>
  <c r="AO365" i="5"/>
  <c r="AO504" i="5"/>
  <c r="AN504" i="5"/>
  <c r="AO485" i="5"/>
  <c r="AN485" i="5"/>
  <c r="AO454" i="5"/>
  <c r="AN454" i="5"/>
  <c r="AO435" i="5"/>
  <c r="AN435" i="5"/>
  <c r="AN404" i="5"/>
  <c r="AO404" i="5"/>
  <c r="AO548" i="5"/>
  <c r="AN548" i="5"/>
  <c r="AO517" i="5"/>
  <c r="AN517" i="5"/>
  <c r="AO522" i="5"/>
  <c r="AN522" i="5"/>
  <c r="AO503" i="5"/>
  <c r="AN503" i="5"/>
  <c r="AO532" i="5"/>
  <c r="AN532" i="5"/>
  <c r="AO513" i="5"/>
  <c r="AN513" i="5"/>
  <c r="AN494" i="5"/>
  <c r="AO494" i="5"/>
  <c r="AO475" i="5"/>
  <c r="AN475" i="5"/>
  <c r="AO81" i="5"/>
  <c r="AN81" i="5"/>
  <c r="AO231" i="5"/>
  <c r="AN231" i="5"/>
  <c r="AN377" i="5"/>
  <c r="AO377" i="5"/>
  <c r="AO525" i="5"/>
  <c r="AN525" i="5"/>
  <c r="AO107" i="5"/>
  <c r="AN107" i="5"/>
  <c r="AO7" i="5"/>
  <c r="AN7" i="5"/>
  <c r="AO48" i="5"/>
  <c r="AN48" i="5"/>
  <c r="AO26" i="5"/>
  <c r="AN26" i="5"/>
  <c r="AO143" i="5"/>
  <c r="AN143" i="5"/>
  <c r="AO93" i="5"/>
  <c r="AN93" i="5"/>
  <c r="AO118" i="5"/>
  <c r="AN118" i="5"/>
  <c r="AO144" i="5"/>
  <c r="AN144" i="5"/>
  <c r="AN119" i="5"/>
  <c r="AO119" i="5"/>
  <c r="AO77" i="5"/>
  <c r="AN77" i="5"/>
  <c r="AO216" i="5"/>
  <c r="AN216" i="5"/>
  <c r="AN19" i="5"/>
  <c r="AO19" i="5"/>
  <c r="AO375" i="5"/>
  <c r="AN375" i="5"/>
  <c r="AO161" i="5"/>
  <c r="AN161" i="5"/>
  <c r="AO154" i="5"/>
  <c r="AN154" i="5"/>
  <c r="AO183" i="5"/>
  <c r="AN183" i="5"/>
  <c r="AO200" i="5"/>
  <c r="AN200" i="5"/>
  <c r="AO235" i="5"/>
  <c r="AN235" i="5"/>
  <c r="AO198" i="5"/>
  <c r="AN198" i="5"/>
  <c r="AO267" i="5"/>
  <c r="AN267" i="5"/>
  <c r="AN201" i="5"/>
  <c r="AO201" i="5"/>
  <c r="AO298" i="5"/>
  <c r="AN298" i="5"/>
  <c r="AO284" i="5"/>
  <c r="AN284" i="5"/>
  <c r="AO265" i="5"/>
  <c r="AN265" i="5"/>
  <c r="AO258" i="5"/>
  <c r="AN258" i="5"/>
  <c r="AO424" i="5"/>
  <c r="AN424" i="5"/>
  <c r="AO359" i="5"/>
  <c r="AN359" i="5"/>
  <c r="AO364" i="5"/>
  <c r="AN364" i="5"/>
  <c r="AO369" i="5"/>
  <c r="AN369" i="5"/>
  <c r="AO386" i="5"/>
  <c r="AN386" i="5"/>
  <c r="AO367" i="5"/>
  <c r="AN367" i="5"/>
  <c r="AN384" i="5"/>
  <c r="AO384" i="5"/>
  <c r="AN389" i="5"/>
  <c r="AO389" i="5"/>
  <c r="AO528" i="5"/>
  <c r="AN528" i="5"/>
  <c r="AO509" i="5"/>
  <c r="AN509" i="5"/>
  <c r="AO478" i="5"/>
  <c r="AN478" i="5"/>
  <c r="AO459" i="5"/>
  <c r="AN459" i="5"/>
  <c r="AO428" i="5"/>
  <c r="AN428" i="5"/>
  <c r="AO397" i="5"/>
  <c r="AN397" i="5"/>
  <c r="AO541" i="5"/>
  <c r="AN541" i="5"/>
  <c r="AO546" i="5"/>
  <c r="AN546" i="5"/>
  <c r="AO527" i="5"/>
  <c r="AN527" i="5"/>
  <c r="AO556" i="5"/>
  <c r="AN556" i="5"/>
  <c r="AO537" i="5"/>
  <c r="AN537" i="5"/>
  <c r="AN518" i="5"/>
  <c r="AO518" i="5"/>
  <c r="AO499" i="5"/>
  <c r="AN499" i="5"/>
  <c r="AO137" i="5"/>
  <c r="AN137" i="5"/>
  <c r="AN9" i="5"/>
  <c r="AO9" i="5"/>
  <c r="AO272" i="5"/>
  <c r="AN272" i="5"/>
  <c r="AO355" i="5"/>
  <c r="AN355" i="5"/>
  <c r="AO487" i="5"/>
  <c r="AN487" i="5"/>
  <c r="AP357" i="5"/>
  <c r="AR357" i="5" s="1"/>
  <c r="AP188" i="5"/>
  <c r="AR188" i="5" s="1"/>
  <c r="AP372" i="5"/>
  <c r="AP130" i="5"/>
  <c r="AQ130" i="5" s="1"/>
  <c r="AP37" i="5"/>
  <c r="AR37" i="5" s="1"/>
  <c r="AP137" i="5"/>
  <c r="AQ137" i="5" s="1"/>
  <c r="AP149" i="5"/>
  <c r="AP118" i="5"/>
  <c r="AP186" i="5"/>
  <c r="AQ186" i="5" s="1"/>
  <c r="AP48" i="5"/>
  <c r="AR48" i="5" s="1"/>
  <c r="AP374" i="5"/>
  <c r="AP144" i="5"/>
  <c r="AR144" i="5" s="1"/>
  <c r="AP235" i="5"/>
  <c r="AQ235" i="5" s="1"/>
  <c r="AP367" i="5"/>
  <c r="AR367" i="5" s="1"/>
  <c r="AP386" i="5"/>
  <c r="AP459" i="5"/>
  <c r="AO90" i="5"/>
  <c r="AN90" i="5"/>
  <c r="AN8" i="5"/>
  <c r="AO8" i="5"/>
  <c r="AO52" i="5"/>
  <c r="AN52" i="5"/>
  <c r="AO28" i="5"/>
  <c r="AN28" i="5"/>
  <c r="AN245" i="5"/>
  <c r="AO245" i="5"/>
  <c r="AN148" i="5"/>
  <c r="AO148" i="5"/>
  <c r="AO125" i="5"/>
  <c r="AN125" i="5"/>
  <c r="AN150" i="5"/>
  <c r="AO150" i="5"/>
  <c r="AN126" i="5"/>
  <c r="AO126" i="5"/>
  <c r="AO89" i="5"/>
  <c r="AN89" i="5"/>
  <c r="AO261" i="5"/>
  <c r="AN261" i="5"/>
  <c r="AN32" i="5"/>
  <c r="AO32" i="5"/>
  <c r="AO110" i="5"/>
  <c r="AN110" i="5"/>
  <c r="AO173" i="5"/>
  <c r="AN173" i="5"/>
  <c r="AO166" i="5"/>
  <c r="AN166" i="5"/>
  <c r="AO195" i="5"/>
  <c r="AN195" i="5"/>
  <c r="AO212" i="5"/>
  <c r="AN212" i="5"/>
  <c r="AO243" i="5"/>
  <c r="AN243" i="5"/>
  <c r="AO210" i="5"/>
  <c r="AN210" i="5"/>
  <c r="AO278" i="5"/>
  <c r="AN278" i="5"/>
  <c r="AN213" i="5"/>
  <c r="AO213" i="5"/>
  <c r="AO310" i="5"/>
  <c r="AN310" i="5"/>
  <c r="AO296" i="5"/>
  <c r="AN296" i="5"/>
  <c r="AO277" i="5"/>
  <c r="AN277" i="5"/>
  <c r="AO270" i="5"/>
  <c r="AN270" i="5"/>
  <c r="AO227" i="5"/>
  <c r="AN227" i="5"/>
  <c r="AO371" i="5"/>
  <c r="AN371" i="5"/>
  <c r="AO376" i="5"/>
  <c r="AN376" i="5"/>
  <c r="AO381" i="5"/>
  <c r="AN381" i="5"/>
  <c r="AO400" i="5"/>
  <c r="AN400" i="5"/>
  <c r="AO379" i="5"/>
  <c r="AN379" i="5"/>
  <c r="AO436" i="5"/>
  <c r="AN436" i="5"/>
  <c r="AO396" i="5"/>
  <c r="AN396" i="5"/>
  <c r="AO540" i="5"/>
  <c r="AN540" i="5"/>
  <c r="AO521" i="5"/>
  <c r="AN521" i="5"/>
  <c r="AO490" i="5"/>
  <c r="AN490" i="5"/>
  <c r="AO471" i="5"/>
  <c r="AN471" i="5"/>
  <c r="AO440" i="5"/>
  <c r="AN440" i="5"/>
  <c r="AO409" i="5"/>
  <c r="AN409" i="5"/>
  <c r="AO553" i="5"/>
  <c r="AN553" i="5"/>
  <c r="AO558" i="5"/>
  <c r="AN558" i="5"/>
  <c r="AO539" i="5"/>
  <c r="AN539" i="5"/>
  <c r="AO405" i="5"/>
  <c r="AN405" i="5"/>
  <c r="AO549" i="5"/>
  <c r="AN549" i="5"/>
  <c r="AN530" i="5"/>
  <c r="AO530" i="5"/>
  <c r="AO511" i="5"/>
  <c r="AN511" i="5"/>
  <c r="AO115" i="5"/>
  <c r="AN115" i="5"/>
  <c r="AO171" i="5"/>
  <c r="AN171" i="5"/>
  <c r="AO390" i="5"/>
  <c r="AN390" i="5"/>
  <c r="AO447" i="5"/>
  <c r="AN447" i="5"/>
  <c r="AP139" i="5"/>
  <c r="AR139" i="5" s="1"/>
  <c r="AP393" i="5"/>
  <c r="AQ393" i="5" s="1"/>
  <c r="AP171" i="5"/>
  <c r="AQ171" i="5" s="1"/>
  <c r="AP142" i="5"/>
  <c r="AQ142" i="5" s="1"/>
  <c r="AO192" i="5"/>
  <c r="AN192" i="5"/>
  <c r="AO131" i="5"/>
  <c r="AN131" i="5"/>
  <c r="AN117" i="5"/>
  <c r="AO117" i="5"/>
  <c r="AO44" i="5"/>
  <c r="AN44" i="5"/>
  <c r="AO22" i="5"/>
  <c r="AN22" i="5"/>
  <c r="AO156" i="5"/>
  <c r="AN156" i="5"/>
  <c r="AO132" i="5"/>
  <c r="AN132" i="5"/>
  <c r="AN233" i="5"/>
  <c r="AO233" i="5"/>
  <c r="AN129" i="5"/>
  <c r="AO129" i="5"/>
  <c r="AO109" i="5"/>
  <c r="AN109" i="5"/>
  <c r="AO351" i="5"/>
  <c r="AN351" i="5"/>
  <c r="AN50" i="5"/>
  <c r="AO50" i="5"/>
  <c r="AO122" i="5"/>
  <c r="AN122" i="5"/>
  <c r="AO185" i="5"/>
  <c r="AN185" i="5"/>
  <c r="AO178" i="5"/>
  <c r="AN178" i="5"/>
  <c r="AO207" i="5"/>
  <c r="AN207" i="5"/>
  <c r="AO224" i="5"/>
  <c r="AN224" i="5"/>
  <c r="AO247" i="5"/>
  <c r="AN247" i="5"/>
  <c r="AO222" i="5"/>
  <c r="AN222" i="5"/>
  <c r="AO279" i="5"/>
  <c r="AN279" i="5"/>
  <c r="AN225" i="5"/>
  <c r="AO225" i="5"/>
  <c r="AO322" i="5"/>
  <c r="AN322" i="5"/>
  <c r="AO308" i="5"/>
  <c r="AN308" i="5"/>
  <c r="AO289" i="5"/>
  <c r="AN289" i="5"/>
  <c r="AO282" i="5"/>
  <c r="AN282" i="5"/>
  <c r="AO239" i="5"/>
  <c r="AN239" i="5"/>
  <c r="AO383" i="5"/>
  <c r="AN383" i="5"/>
  <c r="AO388" i="5"/>
  <c r="AN388" i="5"/>
  <c r="AN402" i="5"/>
  <c r="AO402" i="5"/>
  <c r="AO412" i="5"/>
  <c r="AN412" i="5"/>
  <c r="AN391" i="5"/>
  <c r="AO391" i="5"/>
  <c r="AN269" i="5"/>
  <c r="AO269" i="5"/>
  <c r="AO408" i="5"/>
  <c r="AN408" i="5"/>
  <c r="AO552" i="5"/>
  <c r="AN552" i="5"/>
  <c r="AO533" i="5"/>
  <c r="AN533" i="5"/>
  <c r="AO502" i="5"/>
  <c r="AN502" i="5"/>
  <c r="AO483" i="5"/>
  <c r="AN483" i="5"/>
  <c r="AO452" i="5"/>
  <c r="AN452" i="5"/>
  <c r="AO421" i="5"/>
  <c r="AN421" i="5"/>
  <c r="AN426" i="5"/>
  <c r="AO426" i="5"/>
  <c r="AO407" i="5"/>
  <c r="AN407" i="5"/>
  <c r="AO551" i="5"/>
  <c r="AN551" i="5"/>
  <c r="AO417" i="5"/>
  <c r="AN417" i="5"/>
  <c r="AN398" i="5"/>
  <c r="AO398" i="5"/>
  <c r="AN542" i="5"/>
  <c r="AO542" i="5"/>
  <c r="AO523" i="5"/>
  <c r="AN523" i="5"/>
  <c r="AO142" i="5"/>
  <c r="AN142" i="5"/>
  <c r="AO466" i="5"/>
  <c r="AN466" i="5"/>
  <c r="AP534" i="5"/>
  <c r="AR534" i="5" s="1"/>
  <c r="AP497" i="5"/>
  <c r="AQ497" i="5" s="1"/>
  <c r="AP515" i="5"/>
  <c r="AR515" i="5" s="1"/>
  <c r="AA13" i="5"/>
  <c r="AB13" i="5"/>
  <c r="AO23" i="5"/>
  <c r="AN23" i="5"/>
  <c r="AO180" i="5"/>
  <c r="AN180" i="5"/>
  <c r="AO114" i="5"/>
  <c r="AN114" i="5"/>
  <c r="AO53" i="5"/>
  <c r="AN53" i="5"/>
  <c r="AO35" i="5"/>
  <c r="AN35" i="5"/>
  <c r="AO20" i="5"/>
  <c r="AN20" i="5"/>
  <c r="AO237" i="5"/>
  <c r="AN237" i="5"/>
  <c r="AG12" i="5"/>
  <c r="Z12" i="5"/>
  <c r="AM12" i="5"/>
  <c r="AJ12" i="5"/>
  <c r="W12" i="5"/>
  <c r="AN133" i="5"/>
  <c r="AO133" i="5"/>
  <c r="AO112" i="5"/>
  <c r="AN112" i="5"/>
  <c r="AN21" i="5"/>
  <c r="AO21" i="5"/>
  <c r="AN68" i="5"/>
  <c r="AO68" i="5"/>
  <c r="AN134" i="5"/>
  <c r="AO134" i="5"/>
  <c r="AO197" i="5"/>
  <c r="AN197" i="5"/>
  <c r="AO190" i="5"/>
  <c r="AN190" i="5"/>
  <c r="AO219" i="5"/>
  <c r="AN219" i="5"/>
  <c r="AO255" i="5"/>
  <c r="AN255" i="5"/>
  <c r="AN266" i="5"/>
  <c r="AO266" i="5"/>
  <c r="AO232" i="5"/>
  <c r="AN232" i="5"/>
  <c r="AN172" i="5"/>
  <c r="AO172" i="5"/>
  <c r="AO228" i="5"/>
  <c r="AN228" i="5"/>
  <c r="AO334" i="5"/>
  <c r="AN334" i="5"/>
  <c r="AO320" i="5"/>
  <c r="AN320" i="5"/>
  <c r="AO301" i="5"/>
  <c r="AN301" i="5"/>
  <c r="AO294" i="5"/>
  <c r="AN294" i="5"/>
  <c r="AO251" i="5"/>
  <c r="AN251" i="5"/>
  <c r="AO256" i="5"/>
  <c r="AN256" i="5"/>
  <c r="AO395" i="5"/>
  <c r="AN395" i="5"/>
  <c r="AN414" i="5"/>
  <c r="AO414" i="5"/>
  <c r="AN259" i="5"/>
  <c r="AO259" i="5"/>
  <c r="AN276" i="5"/>
  <c r="AO276" i="5"/>
  <c r="AN281" i="5"/>
  <c r="AO281" i="5"/>
  <c r="AO420" i="5"/>
  <c r="AN420" i="5"/>
  <c r="AO401" i="5"/>
  <c r="AN401" i="5"/>
  <c r="AO545" i="5"/>
  <c r="AN545" i="5"/>
  <c r="AO514" i="5"/>
  <c r="AN514" i="5"/>
  <c r="AO495" i="5"/>
  <c r="AN495" i="5"/>
  <c r="AO464" i="5"/>
  <c r="AN464" i="5"/>
  <c r="AO433" i="5"/>
  <c r="AN433" i="5"/>
  <c r="AO438" i="5"/>
  <c r="AN438" i="5"/>
  <c r="AO419" i="5"/>
  <c r="AN419" i="5"/>
  <c r="AO448" i="5"/>
  <c r="AN448" i="5"/>
  <c r="AO429" i="5"/>
  <c r="AN429" i="5"/>
  <c r="AN410" i="5"/>
  <c r="AO410" i="5"/>
  <c r="AN554" i="5"/>
  <c r="AO554" i="5"/>
  <c r="AO535" i="5"/>
  <c r="AN535" i="5"/>
  <c r="AO204" i="5"/>
  <c r="AN204" i="5"/>
  <c r="AO286" i="5"/>
  <c r="AN286" i="5"/>
  <c r="AO352" i="5"/>
  <c r="AN352" i="5"/>
  <c r="AO560" i="5"/>
  <c r="AN560" i="5"/>
  <c r="AP189" i="5"/>
  <c r="AR189" i="5" s="1"/>
  <c r="AP257" i="5"/>
  <c r="AR257" i="5" s="1"/>
  <c r="AP65" i="5"/>
  <c r="AQ65" i="5" s="1"/>
  <c r="AP272" i="5"/>
  <c r="AQ272" i="5" s="1"/>
  <c r="AP204" i="5"/>
  <c r="AR204" i="5" s="1"/>
  <c r="AP544" i="5"/>
  <c r="AR544" i="5" s="1"/>
  <c r="AI13" i="5"/>
  <c r="AH13" i="5"/>
  <c r="AO30" i="5"/>
  <c r="AN30" i="5"/>
  <c r="AN31" i="5"/>
  <c r="AO31" i="5"/>
  <c r="AO57" i="5"/>
  <c r="AN57" i="5"/>
  <c r="AO55" i="5"/>
  <c r="AN55" i="5"/>
  <c r="AO42" i="5"/>
  <c r="AN42" i="5"/>
  <c r="AO40" i="5"/>
  <c r="AN40" i="5"/>
  <c r="AO303" i="5"/>
  <c r="AN303" i="5"/>
  <c r="AN29" i="5"/>
  <c r="AO29" i="5"/>
  <c r="AN145" i="5"/>
  <c r="AO145" i="5"/>
  <c r="AO151" i="5"/>
  <c r="AN151" i="5"/>
  <c r="AN34" i="5"/>
  <c r="AO34" i="5"/>
  <c r="AN80" i="5"/>
  <c r="AO80" i="5"/>
  <c r="AN146" i="5"/>
  <c r="AO146" i="5"/>
  <c r="AO209" i="5"/>
  <c r="AN209" i="5"/>
  <c r="AO202" i="5"/>
  <c r="AN202" i="5"/>
  <c r="AO104" i="5"/>
  <c r="AN104" i="5"/>
  <c r="AO264" i="5"/>
  <c r="AN264" i="5"/>
  <c r="AO291" i="5"/>
  <c r="AN291" i="5"/>
  <c r="AO244" i="5"/>
  <c r="AN244" i="5"/>
  <c r="AN184" i="5"/>
  <c r="AO184" i="5"/>
  <c r="AO240" i="5"/>
  <c r="AN240" i="5"/>
  <c r="AO346" i="5"/>
  <c r="AN346" i="5"/>
  <c r="AO332" i="5"/>
  <c r="AN332" i="5"/>
  <c r="AO313" i="5"/>
  <c r="AN313" i="5"/>
  <c r="AO306" i="5"/>
  <c r="AN306" i="5"/>
  <c r="AN263" i="5"/>
  <c r="AO263" i="5"/>
  <c r="AN268" i="5"/>
  <c r="AO268" i="5"/>
  <c r="AO273" i="5"/>
  <c r="AN273" i="5"/>
  <c r="AO290" i="5"/>
  <c r="AN290" i="5"/>
  <c r="AO271" i="5"/>
  <c r="AN271" i="5"/>
  <c r="AN288" i="5"/>
  <c r="AO288" i="5"/>
  <c r="AN293" i="5"/>
  <c r="AO293" i="5"/>
  <c r="AO432" i="5"/>
  <c r="AN432" i="5"/>
  <c r="AO413" i="5"/>
  <c r="AN413" i="5"/>
  <c r="AO557" i="5"/>
  <c r="AN557" i="5"/>
  <c r="AO526" i="5"/>
  <c r="AN526" i="5"/>
  <c r="AO507" i="5"/>
  <c r="AN507" i="5"/>
  <c r="AO476" i="5"/>
  <c r="AN476" i="5"/>
  <c r="AO445" i="5"/>
  <c r="AN445" i="5"/>
  <c r="AO450" i="5"/>
  <c r="AN450" i="5"/>
  <c r="AO431" i="5"/>
  <c r="AN431" i="5"/>
  <c r="AO460" i="5"/>
  <c r="AN460" i="5"/>
  <c r="AO441" i="5"/>
  <c r="AN441" i="5"/>
  <c r="AN422" i="5"/>
  <c r="AO422" i="5"/>
  <c r="AO403" i="5"/>
  <c r="AN403" i="5"/>
  <c r="AO547" i="5"/>
  <c r="AN547" i="5"/>
  <c r="AO37" i="5"/>
  <c r="AN37" i="5"/>
  <c r="AO149" i="5"/>
  <c r="AN149" i="5"/>
  <c r="AO253" i="5"/>
  <c r="AN253" i="5"/>
  <c r="AO497" i="5"/>
  <c r="AN497" i="5"/>
  <c r="AO544" i="5"/>
  <c r="AN544" i="5"/>
  <c r="AL13" i="5"/>
  <c r="AK13" i="5"/>
  <c r="AO66" i="5"/>
  <c r="AN66" i="5"/>
  <c r="AO70" i="5"/>
  <c r="AN70" i="5"/>
  <c r="AO39" i="5"/>
  <c r="AN39" i="5"/>
  <c r="AO71" i="5"/>
  <c r="AN71" i="5"/>
  <c r="AO64" i="5"/>
  <c r="AN64" i="5"/>
  <c r="AO62" i="5"/>
  <c r="AN62" i="5"/>
  <c r="AO49" i="5"/>
  <c r="AN49" i="5"/>
  <c r="AN38" i="5"/>
  <c r="AO38" i="5"/>
  <c r="AN160" i="5"/>
  <c r="AO160" i="5"/>
  <c r="AO163" i="5"/>
  <c r="AN163" i="5"/>
  <c r="AN41" i="5"/>
  <c r="AO41" i="5"/>
  <c r="AN92" i="5"/>
  <c r="AO92" i="5"/>
  <c r="AO158" i="5"/>
  <c r="AN158" i="5"/>
  <c r="AO221" i="5"/>
  <c r="AN221" i="5"/>
  <c r="AO214" i="5"/>
  <c r="AN214" i="5"/>
  <c r="AO116" i="5"/>
  <c r="AN116" i="5"/>
  <c r="AO157" i="5"/>
  <c r="AN157" i="5"/>
  <c r="AO315" i="5"/>
  <c r="AN315" i="5"/>
  <c r="AO155" i="5"/>
  <c r="AN155" i="5"/>
  <c r="AN196" i="5"/>
  <c r="AO196" i="5"/>
  <c r="AO252" i="5"/>
  <c r="AN252" i="5"/>
  <c r="AO358" i="5"/>
  <c r="AN358" i="5"/>
  <c r="AO344" i="5"/>
  <c r="AN344" i="5"/>
  <c r="AO325" i="5"/>
  <c r="AN325" i="5"/>
  <c r="AO318" i="5"/>
  <c r="AN318" i="5"/>
  <c r="AO275" i="5"/>
  <c r="AN275" i="5"/>
  <c r="AN280" i="5"/>
  <c r="AO280" i="5"/>
  <c r="AO285" i="5"/>
  <c r="AN285" i="5"/>
  <c r="AO302" i="5"/>
  <c r="AN302" i="5"/>
  <c r="AO283" i="5"/>
  <c r="AN283" i="5"/>
  <c r="AN300" i="5"/>
  <c r="AO300" i="5"/>
  <c r="AN305" i="5"/>
  <c r="AO305" i="5"/>
  <c r="AO444" i="5"/>
  <c r="AN444" i="5"/>
  <c r="AO425" i="5"/>
  <c r="AN425" i="5"/>
  <c r="AO394" i="5"/>
  <c r="AN394" i="5"/>
  <c r="AO538" i="5"/>
  <c r="AN538" i="5"/>
  <c r="AO519" i="5"/>
  <c r="AN519" i="5"/>
  <c r="AO488" i="5"/>
  <c r="AN488" i="5"/>
  <c r="AO457" i="5"/>
  <c r="AN457" i="5"/>
  <c r="AO462" i="5"/>
  <c r="AN462" i="5"/>
  <c r="AO443" i="5"/>
  <c r="AN443" i="5"/>
  <c r="AO472" i="5"/>
  <c r="AN472" i="5"/>
  <c r="AO453" i="5"/>
  <c r="AN453" i="5"/>
  <c r="AN434" i="5"/>
  <c r="AO434" i="5"/>
  <c r="AO415" i="5"/>
  <c r="AN415" i="5"/>
  <c r="AO559" i="5"/>
  <c r="AN559" i="5"/>
  <c r="AN105" i="5"/>
  <c r="AO105" i="5"/>
  <c r="AN189" i="5"/>
  <c r="AO189" i="5"/>
  <c r="AO374" i="5"/>
  <c r="AN374" i="5"/>
  <c r="AO529" i="5"/>
  <c r="AN529" i="5"/>
  <c r="AP253" i="5"/>
  <c r="AQ253" i="5" s="1"/>
  <c r="Y13" i="5"/>
  <c r="X13" i="5"/>
  <c r="AO94" i="5"/>
  <c r="AN94" i="5"/>
  <c r="AO82" i="5"/>
  <c r="AN82" i="5"/>
  <c r="AO59" i="5"/>
  <c r="AN59" i="5"/>
  <c r="AO83" i="5"/>
  <c r="AN83" i="5"/>
  <c r="AO76" i="5"/>
  <c r="AN76" i="5"/>
  <c r="AO74" i="5"/>
  <c r="AN74" i="5"/>
  <c r="AO58" i="5"/>
  <c r="AN58" i="5"/>
  <c r="AN47" i="5"/>
  <c r="AO47" i="5"/>
  <c r="AO327" i="5"/>
  <c r="AN327" i="5"/>
  <c r="AO175" i="5"/>
  <c r="AN175" i="5"/>
  <c r="AN63" i="5"/>
  <c r="AO63" i="5"/>
  <c r="AN103" i="5"/>
  <c r="AO103" i="5"/>
  <c r="AN170" i="5"/>
  <c r="AO170" i="5"/>
  <c r="AO230" i="5"/>
  <c r="AN230" i="5"/>
  <c r="AN111" i="5"/>
  <c r="AO111" i="5"/>
  <c r="AO128" i="5"/>
  <c r="AN128" i="5"/>
  <c r="AO169" i="5"/>
  <c r="AN169" i="5"/>
  <c r="AO339" i="5"/>
  <c r="AN339" i="5"/>
  <c r="AO167" i="5"/>
  <c r="AN167" i="5"/>
  <c r="AN208" i="5"/>
  <c r="AO208" i="5"/>
  <c r="AO226" i="5"/>
  <c r="AN226" i="5"/>
  <c r="AO370" i="5"/>
  <c r="AN370" i="5"/>
  <c r="AO356" i="5"/>
  <c r="AN356" i="5"/>
  <c r="AO337" i="5"/>
  <c r="AN337" i="5"/>
  <c r="AO330" i="5"/>
  <c r="AN330" i="5"/>
  <c r="AO287" i="5"/>
  <c r="AN287" i="5"/>
  <c r="AO292" i="5"/>
  <c r="AN292" i="5"/>
  <c r="AO297" i="5"/>
  <c r="AN297" i="5"/>
  <c r="AO314" i="5"/>
  <c r="AN314" i="5"/>
  <c r="AO295" i="5"/>
  <c r="AN295" i="5"/>
  <c r="AN312" i="5"/>
  <c r="AO312" i="5"/>
  <c r="AN317" i="5"/>
  <c r="AO317" i="5"/>
  <c r="AO456" i="5"/>
  <c r="AN456" i="5"/>
  <c r="AO437" i="5"/>
  <c r="AN437" i="5"/>
  <c r="AO406" i="5"/>
  <c r="AN406" i="5"/>
  <c r="AO550" i="5"/>
  <c r="AN550" i="5"/>
  <c r="AO531" i="5"/>
  <c r="AN531" i="5"/>
  <c r="AO500" i="5"/>
  <c r="AN500" i="5"/>
  <c r="AO469" i="5"/>
  <c r="AN469" i="5"/>
  <c r="AO474" i="5"/>
  <c r="AN474" i="5"/>
  <c r="AO455" i="5"/>
  <c r="AN455" i="5"/>
  <c r="AO484" i="5"/>
  <c r="AN484" i="5"/>
  <c r="AO465" i="5"/>
  <c r="AN465" i="5"/>
  <c r="AN446" i="5"/>
  <c r="AO446" i="5"/>
  <c r="AO427" i="5"/>
  <c r="AN427" i="5"/>
  <c r="AO24" i="5"/>
  <c r="AN24" i="5"/>
  <c r="AO130" i="5"/>
  <c r="AN130" i="5"/>
  <c r="AO393" i="5"/>
  <c r="AN393" i="5"/>
  <c r="AO516" i="5"/>
  <c r="AN516" i="5"/>
  <c r="AO515" i="5"/>
  <c r="AN515" i="5"/>
  <c r="AP231" i="5"/>
  <c r="AQ231" i="5" s="1"/>
  <c r="AP216" i="5"/>
  <c r="AQ216" i="5" s="1"/>
  <c r="AP286" i="5"/>
  <c r="AQ286" i="5" s="1"/>
  <c r="AO13" i="5"/>
  <c r="AN13" i="5"/>
  <c r="AO25" i="5"/>
  <c r="AN25" i="5"/>
  <c r="AO27" i="5"/>
  <c r="AN27" i="5"/>
  <c r="AO61" i="5"/>
  <c r="AN61" i="5"/>
  <c r="AO95" i="5"/>
  <c r="AN95" i="5"/>
  <c r="AO88" i="5"/>
  <c r="AN88" i="5"/>
  <c r="AO86" i="5"/>
  <c r="AN86" i="5"/>
  <c r="AO60" i="5"/>
  <c r="AN60" i="5"/>
  <c r="AN72" i="5"/>
  <c r="AO72" i="5"/>
  <c r="AO43" i="5"/>
  <c r="AN43" i="5"/>
  <c r="AO187" i="5"/>
  <c r="AN187" i="5"/>
  <c r="AN75" i="5"/>
  <c r="AO75" i="5"/>
  <c r="AO106" i="5"/>
  <c r="AN106" i="5"/>
  <c r="AN182" i="5"/>
  <c r="AO182" i="5"/>
  <c r="AN234" i="5"/>
  <c r="AO234" i="5"/>
  <c r="AN123" i="5"/>
  <c r="AO123" i="5"/>
  <c r="AO140" i="5"/>
  <c r="AN140" i="5"/>
  <c r="AO181" i="5"/>
  <c r="AN181" i="5"/>
  <c r="AO363" i="5"/>
  <c r="AN363" i="5"/>
  <c r="AO179" i="5"/>
  <c r="AN179" i="5"/>
  <c r="AN220" i="5"/>
  <c r="AO220" i="5"/>
  <c r="AO238" i="5"/>
  <c r="AN238" i="5"/>
  <c r="AO382" i="5"/>
  <c r="AN382" i="5"/>
  <c r="AO368" i="5"/>
  <c r="AN368" i="5"/>
  <c r="AO349" i="5"/>
  <c r="AN349" i="5"/>
  <c r="AO342" i="5"/>
  <c r="AN342" i="5"/>
  <c r="AO299" i="5"/>
  <c r="AN299" i="5"/>
  <c r="AO304" i="5"/>
  <c r="AN304" i="5"/>
  <c r="AO309" i="5"/>
  <c r="AN309" i="5"/>
  <c r="AO326" i="5"/>
  <c r="AN326" i="5"/>
  <c r="AO307" i="5"/>
  <c r="AN307" i="5"/>
  <c r="AN324" i="5"/>
  <c r="AO324" i="5"/>
  <c r="AN329" i="5"/>
  <c r="AO329" i="5"/>
  <c r="AO468" i="5"/>
  <c r="AN468" i="5"/>
  <c r="AO449" i="5"/>
  <c r="AN449" i="5"/>
  <c r="AO418" i="5"/>
  <c r="AN418" i="5"/>
  <c r="AO399" i="5"/>
  <c r="AN399" i="5"/>
  <c r="AO543" i="5"/>
  <c r="AN543" i="5"/>
  <c r="AO512" i="5"/>
  <c r="AN512" i="5"/>
  <c r="AO481" i="5"/>
  <c r="AN481" i="5"/>
  <c r="AO486" i="5"/>
  <c r="AN486" i="5"/>
  <c r="AO467" i="5"/>
  <c r="AN467" i="5"/>
  <c r="AO496" i="5"/>
  <c r="AN496" i="5"/>
  <c r="AO477" i="5"/>
  <c r="AN477" i="5"/>
  <c r="AN458" i="5"/>
  <c r="AO458" i="5"/>
  <c r="AO439" i="5"/>
  <c r="AN439" i="5"/>
  <c r="AO136" i="5"/>
  <c r="AN136" i="5"/>
  <c r="AN257" i="5"/>
  <c r="AO257" i="5"/>
  <c r="AO357" i="5"/>
  <c r="AN357" i="5"/>
  <c r="AO534" i="5"/>
  <c r="AN534" i="5"/>
  <c r="AP105" i="5"/>
  <c r="AR105" i="5" s="1"/>
  <c r="AP81" i="5"/>
  <c r="AR81" i="5" s="1"/>
  <c r="AP416" i="5"/>
  <c r="AQ416" i="5" s="1"/>
  <c r="AP347" i="5"/>
  <c r="AR347" i="5" s="1"/>
  <c r="AP506" i="5"/>
  <c r="AR506" i="5" s="1"/>
  <c r="AP560" i="5"/>
  <c r="AR560" i="5" s="1"/>
  <c r="AP487" i="5"/>
  <c r="AR487" i="5" s="1"/>
  <c r="AN141" i="5"/>
  <c r="AO141" i="5"/>
  <c r="AO36" i="5"/>
  <c r="AN36" i="5"/>
  <c r="AO73" i="5"/>
  <c r="AN73" i="5"/>
  <c r="AO100" i="5"/>
  <c r="AN100" i="5"/>
  <c r="AN33" i="5"/>
  <c r="AO33" i="5"/>
  <c r="AO98" i="5"/>
  <c r="AN98" i="5"/>
  <c r="AO67" i="5"/>
  <c r="AN67" i="5"/>
  <c r="AN84" i="5"/>
  <c r="AO84" i="5"/>
  <c r="AO45" i="5"/>
  <c r="AN45" i="5"/>
  <c r="AO199" i="5"/>
  <c r="AN199" i="5"/>
  <c r="AN87" i="5"/>
  <c r="AO87" i="5"/>
  <c r="AO113" i="5"/>
  <c r="AN113" i="5"/>
  <c r="AO194" i="5"/>
  <c r="AN194" i="5"/>
  <c r="AO242" i="5"/>
  <c r="AN242" i="5"/>
  <c r="AN135" i="5"/>
  <c r="AO135" i="5"/>
  <c r="AO152" i="5"/>
  <c r="AN152" i="5"/>
  <c r="AO193" i="5"/>
  <c r="AN193" i="5"/>
  <c r="AO387" i="5"/>
  <c r="AN387" i="5"/>
  <c r="AO191" i="5"/>
  <c r="AN191" i="5"/>
  <c r="AN153" i="5"/>
  <c r="AO153" i="5"/>
  <c r="AO250" i="5"/>
  <c r="AN250" i="5"/>
  <c r="AN236" i="5"/>
  <c r="AO236" i="5"/>
  <c r="AO380" i="5"/>
  <c r="AN380" i="5"/>
  <c r="AO361" i="5"/>
  <c r="AN361" i="5"/>
  <c r="AO354" i="5"/>
  <c r="AN354" i="5"/>
  <c r="AO311" i="5"/>
  <c r="AN311" i="5"/>
  <c r="AO316" i="5"/>
  <c r="AN316" i="5"/>
  <c r="AO321" i="5"/>
  <c r="AN321" i="5"/>
  <c r="AO338" i="5"/>
  <c r="AN338" i="5"/>
  <c r="AO319" i="5"/>
  <c r="AN319" i="5"/>
  <c r="AN336" i="5"/>
  <c r="AO336" i="5"/>
  <c r="AN341" i="5"/>
  <c r="AO341" i="5"/>
  <c r="AO480" i="5"/>
  <c r="AN480" i="5"/>
  <c r="AO461" i="5"/>
  <c r="AN461" i="5"/>
  <c r="AO430" i="5"/>
  <c r="AN430" i="5"/>
  <c r="AO411" i="5"/>
  <c r="AN411" i="5"/>
  <c r="AO555" i="5"/>
  <c r="AN555" i="5"/>
  <c r="AO524" i="5"/>
  <c r="AN524" i="5"/>
  <c r="AO493" i="5"/>
  <c r="AN493" i="5"/>
  <c r="AO498" i="5"/>
  <c r="AN498" i="5"/>
  <c r="AO479" i="5"/>
  <c r="AN479" i="5"/>
  <c r="AO508" i="5"/>
  <c r="AN508" i="5"/>
  <c r="AO489" i="5"/>
  <c r="AN489" i="5"/>
  <c r="AN470" i="5"/>
  <c r="AO470" i="5"/>
  <c r="AO451" i="5"/>
  <c r="AN451" i="5"/>
  <c r="AO65" i="5"/>
  <c r="AN65" i="5"/>
  <c r="AO186" i="5"/>
  <c r="AN186" i="5"/>
  <c r="AO347" i="5"/>
  <c r="AN347" i="5"/>
  <c r="AN416" i="5"/>
  <c r="AO416" i="5"/>
  <c r="AP352" i="5"/>
  <c r="AQ352" i="5" s="1"/>
  <c r="AP516" i="5"/>
  <c r="AQ516" i="5" s="1"/>
  <c r="AO249" i="5"/>
  <c r="AN249" i="5"/>
  <c r="AO78" i="5"/>
  <c r="AN78" i="5"/>
  <c r="AO85" i="5"/>
  <c r="AN85" i="5"/>
  <c r="AO121" i="5"/>
  <c r="AN121" i="5"/>
  <c r="AO51" i="5"/>
  <c r="AN51" i="5"/>
  <c r="AO101" i="5"/>
  <c r="AN101" i="5"/>
  <c r="AO79" i="5"/>
  <c r="AN79" i="5"/>
  <c r="AN96" i="5"/>
  <c r="AO96" i="5"/>
  <c r="AO54" i="5"/>
  <c r="AN54" i="5"/>
  <c r="AO211" i="5"/>
  <c r="AN211" i="5"/>
  <c r="AN99" i="5"/>
  <c r="AO99" i="5"/>
  <c r="AN120" i="5"/>
  <c r="AO120" i="5"/>
  <c r="AO206" i="5"/>
  <c r="AN206" i="5"/>
  <c r="AN246" i="5"/>
  <c r="AO246" i="5"/>
  <c r="AN147" i="5"/>
  <c r="AO147" i="5"/>
  <c r="AO164" i="5"/>
  <c r="AN164" i="5"/>
  <c r="AO205" i="5"/>
  <c r="AN205" i="5"/>
  <c r="AN162" i="5"/>
  <c r="AO162" i="5"/>
  <c r="AO203" i="5"/>
  <c r="AN203" i="5"/>
  <c r="AN165" i="5"/>
  <c r="AO165" i="5"/>
  <c r="AO262" i="5"/>
  <c r="AN262" i="5"/>
  <c r="AN248" i="5"/>
  <c r="AO248" i="5"/>
  <c r="AO229" i="5"/>
  <c r="AN229" i="5"/>
  <c r="AO373" i="5"/>
  <c r="AN373" i="5"/>
  <c r="AO366" i="5"/>
  <c r="AN366" i="5"/>
  <c r="AO323" i="5"/>
  <c r="AN323" i="5"/>
  <c r="AO328" i="5"/>
  <c r="AN328" i="5"/>
  <c r="AO333" i="5"/>
  <c r="AN333" i="5"/>
  <c r="AO350" i="5"/>
  <c r="AN350" i="5"/>
  <c r="AO331" i="5"/>
  <c r="AN331" i="5"/>
  <c r="AN348" i="5"/>
  <c r="AO348" i="5"/>
  <c r="AN353" i="5"/>
  <c r="AO353" i="5"/>
  <c r="AO492" i="5"/>
  <c r="AN492" i="5"/>
  <c r="AO473" i="5"/>
  <c r="AN473" i="5"/>
  <c r="AO442" i="5"/>
  <c r="AN442" i="5"/>
  <c r="AO423" i="5"/>
  <c r="AN423" i="5"/>
  <c r="AN392" i="5"/>
  <c r="AO392" i="5"/>
  <c r="AO536" i="5"/>
  <c r="AN536" i="5"/>
  <c r="AO505" i="5"/>
  <c r="AN505" i="5"/>
  <c r="AO510" i="5"/>
  <c r="AN510" i="5"/>
  <c r="AO491" i="5"/>
  <c r="AN491" i="5"/>
  <c r="AO520" i="5"/>
  <c r="AN520" i="5"/>
  <c r="AO501" i="5"/>
  <c r="AN501" i="5"/>
  <c r="AN482" i="5"/>
  <c r="AO482" i="5"/>
  <c r="AO463" i="5"/>
  <c r="AN463" i="5"/>
  <c r="AQ34" i="5"/>
  <c r="AR34" i="5"/>
  <c r="AR86" i="5"/>
  <c r="AQ86" i="5"/>
  <c r="AQ361" i="5"/>
  <c r="AR361" i="5"/>
  <c r="AR82" i="5"/>
  <c r="AQ82" i="5"/>
  <c r="AR137" i="5"/>
  <c r="AR101" i="5"/>
  <c r="AQ101" i="5"/>
  <c r="AR186" i="5"/>
  <c r="AQ277" i="5"/>
  <c r="AR277" i="5"/>
  <c r="AQ111" i="5"/>
  <c r="AR111" i="5"/>
  <c r="AQ26" i="5"/>
  <c r="AR26" i="5"/>
  <c r="AQ62" i="5"/>
  <c r="AR62" i="5"/>
  <c r="AQ202" i="5"/>
  <c r="AR202" i="5"/>
  <c r="AR41" i="5"/>
  <c r="AQ41" i="5"/>
  <c r="AR38" i="5"/>
  <c r="AQ38" i="5"/>
  <c r="AR201" i="5"/>
  <c r="AQ201" i="5"/>
  <c r="AR66" i="5"/>
  <c r="AQ66" i="5"/>
  <c r="AR181" i="5"/>
  <c r="AQ181" i="5"/>
  <c r="AR61" i="5"/>
  <c r="AQ61" i="5"/>
  <c r="AR146" i="5"/>
  <c r="AQ146" i="5"/>
  <c r="AR173" i="5"/>
  <c r="AQ173" i="5"/>
  <c r="AR166" i="5"/>
  <c r="AQ166" i="5"/>
  <c r="AQ228" i="5"/>
  <c r="AR228" i="5"/>
  <c r="AR63" i="5"/>
  <c r="AQ63" i="5"/>
  <c r="AR134" i="5"/>
  <c r="AQ134" i="5"/>
  <c r="AQ293" i="5"/>
  <c r="AQ282" i="5"/>
  <c r="AR282" i="5"/>
  <c r="AQ387" i="5"/>
  <c r="AR387" i="5"/>
  <c r="AQ406" i="5"/>
  <c r="AR406" i="5"/>
  <c r="AR152" i="5"/>
  <c r="AQ152" i="5"/>
  <c r="AQ241" i="5"/>
  <c r="AR241" i="5"/>
  <c r="AQ353" i="5"/>
  <c r="AR353" i="5"/>
  <c r="AQ350" i="5"/>
  <c r="AR350" i="5"/>
  <c r="AR405" i="5"/>
  <c r="AR384" i="5"/>
  <c r="AQ384" i="5"/>
  <c r="AQ420" i="5"/>
  <c r="AR420" i="5"/>
  <c r="AR279" i="5"/>
  <c r="AQ279" i="5"/>
  <c r="AR327" i="5"/>
  <c r="AQ327" i="5"/>
  <c r="AR375" i="5"/>
  <c r="AQ375" i="5"/>
  <c r="AQ398" i="5"/>
  <c r="AR398" i="5"/>
  <c r="AQ486" i="5"/>
  <c r="AR486" i="5"/>
  <c r="AR449" i="5"/>
  <c r="AQ449" i="5"/>
  <c r="AR545" i="5"/>
  <c r="AQ545" i="5"/>
  <c r="AR492" i="5"/>
  <c r="AQ492" i="5"/>
  <c r="AR540" i="5"/>
  <c r="AQ540" i="5"/>
  <c r="AR419" i="5"/>
  <c r="AQ419" i="5"/>
  <c r="AR467" i="5"/>
  <c r="AQ467" i="5"/>
  <c r="AQ515" i="5"/>
  <c r="AQ55" i="5"/>
  <c r="AR55" i="5"/>
  <c r="AQ84" i="5"/>
  <c r="AR84" i="5"/>
  <c r="AR164" i="5"/>
  <c r="AQ164" i="5"/>
  <c r="AR130" i="5"/>
  <c r="AQ178" i="5"/>
  <c r="AR178" i="5"/>
  <c r="AR32" i="5"/>
  <c r="AQ32" i="5"/>
  <c r="AR193" i="5"/>
  <c r="AQ193" i="5"/>
  <c r="AR103" i="5"/>
  <c r="AQ103" i="5"/>
  <c r="AQ119" i="5"/>
  <c r="AR119" i="5"/>
  <c r="AQ36" i="5"/>
  <c r="AR36" i="5"/>
  <c r="AR215" i="5"/>
  <c r="AQ215" i="5"/>
  <c r="AQ45" i="5"/>
  <c r="AR45" i="5"/>
  <c r="AR51" i="5"/>
  <c r="AQ51" i="5"/>
  <c r="AQ254" i="5"/>
  <c r="AR254" i="5"/>
  <c r="AR98" i="5"/>
  <c r="AQ98" i="5"/>
  <c r="AQ175" i="5"/>
  <c r="AR175" i="5"/>
  <c r="AR195" i="5"/>
  <c r="AQ195" i="5"/>
  <c r="AR65" i="5"/>
  <c r="AR170" i="5"/>
  <c r="AQ170" i="5"/>
  <c r="AR187" i="5"/>
  <c r="AQ187" i="5"/>
  <c r="AR190" i="5"/>
  <c r="AQ190" i="5"/>
  <c r="AQ233" i="5"/>
  <c r="AR233" i="5"/>
  <c r="AR203" i="5"/>
  <c r="AQ203" i="5"/>
  <c r="AR158" i="5"/>
  <c r="AQ158" i="5"/>
  <c r="AQ301" i="5"/>
  <c r="AR301" i="5"/>
  <c r="AQ290" i="5"/>
  <c r="AR290" i="5"/>
  <c r="AQ292" i="5"/>
  <c r="AR292" i="5"/>
  <c r="AR108" i="5"/>
  <c r="AQ108" i="5"/>
  <c r="AR156" i="5"/>
  <c r="AQ156" i="5"/>
  <c r="AQ204" i="5"/>
  <c r="AR400" i="5"/>
  <c r="AQ400" i="5"/>
  <c r="AQ358" i="5"/>
  <c r="AR358" i="5"/>
  <c r="AQ373" i="5"/>
  <c r="AR373" i="5"/>
  <c r="AQ413" i="5"/>
  <c r="AR413" i="5"/>
  <c r="AR396" i="5"/>
  <c r="AQ396" i="5"/>
  <c r="AQ428" i="5"/>
  <c r="AR428" i="5"/>
  <c r="AR283" i="5"/>
  <c r="AQ283" i="5"/>
  <c r="AR331" i="5"/>
  <c r="AQ331" i="5"/>
  <c r="AR379" i="5"/>
  <c r="AQ379" i="5"/>
  <c r="AQ414" i="5"/>
  <c r="AR414" i="5"/>
  <c r="AQ538" i="5"/>
  <c r="AR538" i="5"/>
  <c r="AR453" i="5"/>
  <c r="AQ453" i="5"/>
  <c r="AR501" i="5"/>
  <c r="AQ501" i="5"/>
  <c r="AR549" i="5"/>
  <c r="AQ549" i="5"/>
  <c r="AR496" i="5"/>
  <c r="AQ496" i="5"/>
  <c r="AQ544" i="5"/>
  <c r="AR423" i="5"/>
  <c r="AQ423" i="5"/>
  <c r="AR519" i="5"/>
  <c r="AQ519" i="5"/>
  <c r="AQ185" i="5"/>
  <c r="AR185" i="5"/>
  <c r="AR205" i="5"/>
  <c r="AQ205" i="5"/>
  <c r="AR69" i="5"/>
  <c r="AQ69" i="5"/>
  <c r="AR194" i="5"/>
  <c r="AQ194" i="5"/>
  <c r="AQ214" i="5"/>
  <c r="AQ248" i="5"/>
  <c r="AR248" i="5"/>
  <c r="AQ320" i="5"/>
  <c r="AR320" i="5"/>
  <c r="AR213" i="5"/>
  <c r="AQ213" i="5"/>
  <c r="AR71" i="5"/>
  <c r="AQ71" i="5"/>
  <c r="AR182" i="5"/>
  <c r="AQ182" i="5"/>
  <c r="AQ309" i="5"/>
  <c r="AR309" i="5"/>
  <c r="AQ298" i="5"/>
  <c r="AR298" i="5"/>
  <c r="AQ300" i="5"/>
  <c r="AR300" i="5"/>
  <c r="AR112" i="5"/>
  <c r="AQ112" i="5"/>
  <c r="AR160" i="5"/>
  <c r="AQ160" i="5"/>
  <c r="AR208" i="5"/>
  <c r="AQ208" i="5"/>
  <c r="AQ273" i="5"/>
  <c r="AR273" i="5"/>
  <c r="AQ369" i="5"/>
  <c r="AR369" i="5"/>
  <c r="AQ382" i="5"/>
  <c r="AR382" i="5"/>
  <c r="AQ421" i="5"/>
  <c r="AR421" i="5"/>
  <c r="AQ402" i="5"/>
  <c r="AR402" i="5"/>
  <c r="AQ440" i="5"/>
  <c r="AR440" i="5"/>
  <c r="AR287" i="5"/>
  <c r="AQ287" i="5"/>
  <c r="AR335" i="5"/>
  <c r="AQ335" i="5"/>
  <c r="AR383" i="5"/>
  <c r="AQ383" i="5"/>
  <c r="AQ494" i="5"/>
  <c r="AR494" i="5"/>
  <c r="AQ542" i="5"/>
  <c r="AR542" i="5"/>
  <c r="AR457" i="5"/>
  <c r="AQ457" i="5"/>
  <c r="AR505" i="5"/>
  <c r="AQ505" i="5"/>
  <c r="AR553" i="5"/>
  <c r="AQ553" i="5"/>
  <c r="AR500" i="5"/>
  <c r="AQ500" i="5"/>
  <c r="AR548" i="5"/>
  <c r="AQ548" i="5"/>
  <c r="AR427" i="5"/>
  <c r="AQ427" i="5"/>
  <c r="AR475" i="5"/>
  <c r="AQ475" i="5"/>
  <c r="AR126" i="5"/>
  <c r="AQ126" i="5"/>
  <c r="AQ54" i="5"/>
  <c r="AR54" i="5"/>
  <c r="AQ225" i="5"/>
  <c r="AR225" i="5"/>
  <c r="AQ436" i="5"/>
  <c r="AR436" i="5"/>
  <c r="AR557" i="5"/>
  <c r="AQ557" i="5"/>
  <c r="AR94" i="5"/>
  <c r="AQ94" i="5"/>
  <c r="AQ209" i="5"/>
  <c r="AR209" i="5"/>
  <c r="AQ258" i="5"/>
  <c r="AR53" i="5"/>
  <c r="AQ53" i="5"/>
  <c r="AQ230" i="5"/>
  <c r="AR230" i="5"/>
  <c r="AR79" i="5"/>
  <c r="AQ79" i="5"/>
  <c r="AQ245" i="5"/>
  <c r="AR245" i="5"/>
  <c r="AQ325" i="5"/>
  <c r="AR325" i="5"/>
  <c r="AQ314" i="5"/>
  <c r="AR314" i="5"/>
  <c r="AQ316" i="5"/>
  <c r="AR316" i="5"/>
  <c r="AR120" i="5"/>
  <c r="AQ120" i="5"/>
  <c r="AR168" i="5"/>
  <c r="AQ168" i="5"/>
  <c r="AQ289" i="5"/>
  <c r="AR289" i="5"/>
  <c r="AR286" i="5"/>
  <c r="AQ408" i="5"/>
  <c r="AR408" i="5"/>
  <c r="AQ448" i="5"/>
  <c r="AR448" i="5"/>
  <c r="AQ418" i="5"/>
  <c r="AR418" i="5"/>
  <c r="AR247" i="5"/>
  <c r="AQ247" i="5"/>
  <c r="AR295" i="5"/>
  <c r="AQ295" i="5"/>
  <c r="AR343" i="5"/>
  <c r="AQ343" i="5"/>
  <c r="AQ409" i="5"/>
  <c r="AQ444" i="5"/>
  <c r="AR444" i="5"/>
  <c r="AQ502" i="5"/>
  <c r="AR502" i="5"/>
  <c r="AQ550" i="5"/>
  <c r="AR550" i="5"/>
  <c r="AR465" i="5"/>
  <c r="AQ465" i="5"/>
  <c r="AR513" i="5"/>
  <c r="AQ513" i="5"/>
  <c r="AR460" i="5"/>
  <c r="AQ460" i="5"/>
  <c r="AR508" i="5"/>
  <c r="AQ508" i="5"/>
  <c r="AR556" i="5"/>
  <c r="AQ556" i="5"/>
  <c r="AR435" i="5"/>
  <c r="AQ435" i="5"/>
  <c r="AR483" i="5"/>
  <c r="AQ483" i="5"/>
  <c r="AQ306" i="5"/>
  <c r="AQ452" i="5"/>
  <c r="AR452" i="5"/>
  <c r="AQ498" i="5"/>
  <c r="AR498" i="5"/>
  <c r="AQ177" i="5"/>
  <c r="AR177" i="5"/>
  <c r="AR70" i="5"/>
  <c r="AQ70" i="5"/>
  <c r="AR59" i="5"/>
  <c r="AQ59" i="5"/>
  <c r="AR90" i="5"/>
  <c r="AQ90" i="5"/>
  <c r="AR150" i="5"/>
  <c r="AQ150" i="5"/>
  <c r="AR143" i="5"/>
  <c r="AQ143" i="5"/>
  <c r="AQ154" i="5"/>
  <c r="AR154" i="5"/>
  <c r="AQ222" i="5"/>
  <c r="AR222" i="5"/>
  <c r="AQ242" i="5"/>
  <c r="AR242" i="5"/>
  <c r="AQ266" i="5"/>
  <c r="AR266" i="5"/>
  <c r="AQ236" i="5"/>
  <c r="AR236" i="5"/>
  <c r="AQ336" i="5"/>
  <c r="AR336" i="5"/>
  <c r="AQ270" i="5"/>
  <c r="AR270" i="5"/>
  <c r="AQ260" i="5"/>
  <c r="AR260" i="5"/>
  <c r="AR83" i="5"/>
  <c r="AQ83" i="5"/>
  <c r="AR250" i="5"/>
  <c r="AQ333" i="5"/>
  <c r="AR333" i="5"/>
  <c r="AQ322" i="5"/>
  <c r="AR322" i="5"/>
  <c r="AQ324" i="5"/>
  <c r="AR324" i="5"/>
  <c r="AR124" i="5"/>
  <c r="AQ124" i="5"/>
  <c r="AR172" i="5"/>
  <c r="AQ172" i="5"/>
  <c r="AQ220" i="5"/>
  <c r="AR220" i="5"/>
  <c r="AQ297" i="5"/>
  <c r="AR297" i="5"/>
  <c r="AQ294" i="5"/>
  <c r="AR294" i="5"/>
  <c r="AR356" i="5"/>
  <c r="AQ356" i="5"/>
  <c r="AQ426" i="5"/>
  <c r="AR426" i="5"/>
  <c r="AR251" i="5"/>
  <c r="AQ251" i="5"/>
  <c r="AQ417" i="5"/>
  <c r="AR417" i="5"/>
  <c r="AQ456" i="5"/>
  <c r="AR456" i="5"/>
  <c r="AQ554" i="5"/>
  <c r="AR554" i="5"/>
  <c r="AR469" i="5"/>
  <c r="AQ469" i="5"/>
  <c r="AR517" i="5"/>
  <c r="AQ517" i="5"/>
  <c r="AR464" i="5"/>
  <c r="AQ464" i="5"/>
  <c r="AR512" i="5"/>
  <c r="AQ512" i="5"/>
  <c r="AR439" i="5"/>
  <c r="AQ439" i="5"/>
  <c r="AR535" i="5"/>
  <c r="AQ535" i="5"/>
  <c r="AQ27" i="5"/>
  <c r="AR27" i="5"/>
  <c r="AQ224" i="5"/>
  <c r="AR224" i="5"/>
  <c r="AR206" i="5"/>
  <c r="AQ206" i="5"/>
  <c r="AQ378" i="5"/>
  <c r="AR378" i="5"/>
  <c r="AR339" i="5"/>
  <c r="AQ339" i="5"/>
  <c r="AR431" i="5"/>
  <c r="AQ431" i="5"/>
  <c r="AQ76" i="5"/>
  <c r="AR76" i="5"/>
  <c r="AR231" i="5"/>
  <c r="AQ362" i="5"/>
  <c r="AR362" i="5"/>
  <c r="AQ8" i="5"/>
  <c r="AR8" i="5"/>
  <c r="AQ121" i="5"/>
  <c r="AR121" i="5"/>
  <c r="AQ72" i="5"/>
  <c r="AR72" i="5"/>
  <c r="AQ21" i="5"/>
  <c r="AR21" i="5"/>
  <c r="AR129" i="5"/>
  <c r="AQ129" i="5"/>
  <c r="AQ252" i="5"/>
  <c r="AR252" i="5"/>
  <c r="AR218" i="5"/>
  <c r="AQ218" i="5"/>
  <c r="AQ227" i="5"/>
  <c r="AQ264" i="5"/>
  <c r="AR264" i="5"/>
  <c r="AR85" i="5"/>
  <c r="AQ85" i="5"/>
  <c r="AQ246" i="5"/>
  <c r="AR246" i="5"/>
  <c r="AR145" i="5"/>
  <c r="AQ145" i="5"/>
  <c r="AQ328" i="5"/>
  <c r="AR328" i="5"/>
  <c r="AR117" i="5"/>
  <c r="AQ117" i="5"/>
  <c r="AR87" i="5"/>
  <c r="AQ87" i="5"/>
  <c r="AQ276" i="5"/>
  <c r="AR276" i="5"/>
  <c r="AR341" i="5"/>
  <c r="AQ332" i="5"/>
  <c r="AR332" i="5"/>
  <c r="AR128" i="5"/>
  <c r="AQ128" i="5"/>
  <c r="AR176" i="5"/>
  <c r="AQ176" i="5"/>
  <c r="AQ223" i="5"/>
  <c r="AR223" i="5"/>
  <c r="AQ305" i="5"/>
  <c r="AR305" i="5"/>
  <c r="AQ424" i="5"/>
  <c r="AR424" i="5"/>
  <c r="AR360" i="5"/>
  <c r="AQ360" i="5"/>
  <c r="AQ438" i="5"/>
  <c r="AR438" i="5"/>
  <c r="AR255" i="5"/>
  <c r="AQ255" i="5"/>
  <c r="AR303" i="5"/>
  <c r="AQ303" i="5"/>
  <c r="AR351" i="5"/>
  <c r="AQ351" i="5"/>
  <c r="AQ425" i="5"/>
  <c r="AR425" i="5"/>
  <c r="AQ462" i="5"/>
  <c r="AR462" i="5"/>
  <c r="AQ510" i="5"/>
  <c r="AR510" i="5"/>
  <c r="AQ558" i="5"/>
  <c r="AR558" i="5"/>
  <c r="AR473" i="5"/>
  <c r="AQ473" i="5"/>
  <c r="AR521" i="5"/>
  <c r="AQ521" i="5"/>
  <c r="AR468" i="5"/>
  <c r="AQ468" i="5"/>
  <c r="AR516" i="5"/>
  <c r="AR395" i="5"/>
  <c r="AQ395" i="5"/>
  <c r="AR443" i="5"/>
  <c r="AQ443" i="5"/>
  <c r="AR491" i="5"/>
  <c r="AQ491" i="5"/>
  <c r="AR539" i="5"/>
  <c r="AQ539" i="5"/>
  <c r="AR74" i="5"/>
  <c r="AQ74" i="5"/>
  <c r="AQ199" i="5"/>
  <c r="AR199" i="5"/>
  <c r="AR75" i="5"/>
  <c r="AQ75" i="5"/>
  <c r="AQ281" i="5"/>
  <c r="AR281" i="5"/>
  <c r="AR504" i="5"/>
  <c r="AQ504" i="5"/>
  <c r="AQ43" i="5"/>
  <c r="AR43" i="5"/>
  <c r="AQ100" i="5"/>
  <c r="AR100" i="5"/>
  <c r="AR147" i="5"/>
  <c r="AQ147" i="5"/>
  <c r="AQ47" i="5"/>
  <c r="AR47" i="5"/>
  <c r="AQ198" i="5"/>
  <c r="AR198" i="5"/>
  <c r="AQ92" i="5"/>
  <c r="AR92" i="5"/>
  <c r="AQ219" i="5"/>
  <c r="AR219" i="5"/>
  <c r="AQ9" i="5"/>
  <c r="AQ269" i="5"/>
  <c r="AR269" i="5"/>
  <c r="AQ239" i="5"/>
  <c r="AR239" i="5"/>
  <c r="AQ240" i="5"/>
  <c r="AR240" i="5"/>
  <c r="AR7" i="5"/>
  <c r="AQ7" i="5"/>
  <c r="AR89" i="5"/>
  <c r="AQ89" i="5"/>
  <c r="AQ344" i="5"/>
  <c r="AR344" i="5"/>
  <c r="AR159" i="5"/>
  <c r="AQ159" i="5"/>
  <c r="AR114" i="5"/>
  <c r="AQ114" i="5"/>
  <c r="AR131" i="5"/>
  <c r="AQ131" i="5"/>
  <c r="AQ312" i="5"/>
  <c r="AR312" i="5"/>
  <c r="AQ278" i="5"/>
  <c r="AR278" i="5"/>
  <c r="AQ349" i="5"/>
  <c r="AR349" i="5"/>
  <c r="AQ338" i="5"/>
  <c r="AR338" i="5"/>
  <c r="AQ340" i="5"/>
  <c r="AR340" i="5"/>
  <c r="AR132" i="5"/>
  <c r="AQ132" i="5"/>
  <c r="AR180" i="5"/>
  <c r="AQ180" i="5"/>
  <c r="AQ226" i="5"/>
  <c r="AR226" i="5"/>
  <c r="AQ310" i="5"/>
  <c r="AR310" i="5"/>
  <c r="AQ434" i="5"/>
  <c r="AR434" i="5"/>
  <c r="AR364" i="5"/>
  <c r="AQ364" i="5"/>
  <c r="AR259" i="5"/>
  <c r="AQ259" i="5"/>
  <c r="AR307" i="5"/>
  <c r="AQ307" i="5"/>
  <c r="AQ430" i="5"/>
  <c r="AR430" i="5"/>
  <c r="AQ514" i="5"/>
  <c r="AR514" i="5"/>
  <c r="AR429" i="5"/>
  <c r="AQ429" i="5"/>
  <c r="AR477" i="5"/>
  <c r="AQ477" i="5"/>
  <c r="AR525" i="5"/>
  <c r="AQ525" i="5"/>
  <c r="AR472" i="5"/>
  <c r="AQ472" i="5"/>
  <c r="AR520" i="5"/>
  <c r="AQ520" i="5"/>
  <c r="AR399" i="5"/>
  <c r="AQ399" i="5"/>
  <c r="AR447" i="5"/>
  <c r="AQ447" i="5"/>
  <c r="AR495" i="5"/>
  <c r="AQ495" i="5"/>
  <c r="AR543" i="5"/>
  <c r="AQ543" i="5"/>
  <c r="AQ249" i="5"/>
  <c r="AR249" i="5"/>
  <c r="AR135" i="5"/>
  <c r="AQ135" i="5"/>
  <c r="AQ317" i="5"/>
  <c r="AR317" i="5"/>
  <c r="AQ388" i="5"/>
  <c r="AR388" i="5"/>
  <c r="AQ401" i="5"/>
  <c r="AR401" i="5"/>
  <c r="AR552" i="5"/>
  <c r="AQ552" i="5"/>
  <c r="AQ167" i="5"/>
  <c r="AR167" i="5"/>
  <c r="AQ96" i="5"/>
  <c r="AR96" i="5"/>
  <c r="AQ261" i="5"/>
  <c r="AR261" i="5"/>
  <c r="AQ57" i="5"/>
  <c r="AR57" i="5"/>
  <c r="AQ33" i="5"/>
  <c r="AR33" i="5"/>
  <c r="AQ25" i="5"/>
  <c r="AR25" i="5"/>
  <c r="AQ106" i="5"/>
  <c r="AR106" i="5"/>
  <c r="AQ221" i="5"/>
  <c r="AR221" i="5"/>
  <c r="AR23" i="5"/>
  <c r="AQ23" i="5"/>
  <c r="AR13" i="5"/>
  <c r="AQ13" i="5"/>
  <c r="AQ113" i="5"/>
  <c r="AR113" i="5"/>
  <c r="AQ262" i="5"/>
  <c r="AR262" i="5"/>
  <c r="AR93" i="5"/>
  <c r="AQ93" i="5"/>
  <c r="AR125" i="5"/>
  <c r="AQ125" i="5"/>
  <c r="AR169" i="5"/>
  <c r="AQ169" i="5"/>
  <c r="AR138" i="5"/>
  <c r="AQ138" i="5"/>
  <c r="AR141" i="5"/>
  <c r="AQ141" i="5"/>
  <c r="AQ377" i="5"/>
  <c r="AR377" i="5"/>
  <c r="AR95" i="5"/>
  <c r="AQ95" i="5"/>
  <c r="AQ304" i="5"/>
  <c r="AR304" i="5"/>
  <c r="AQ366" i="5"/>
  <c r="AR366" i="5"/>
  <c r="AQ348" i="5"/>
  <c r="AR348" i="5"/>
  <c r="AR136" i="5"/>
  <c r="AQ136" i="5"/>
  <c r="AR184" i="5"/>
  <c r="AQ184" i="5"/>
  <c r="AQ229" i="5"/>
  <c r="AR229" i="5"/>
  <c r="AQ321" i="5"/>
  <c r="AR321" i="5"/>
  <c r="AQ318" i="5"/>
  <c r="AR318" i="5"/>
  <c r="AQ446" i="5"/>
  <c r="AR446" i="5"/>
  <c r="AR368" i="5"/>
  <c r="AQ368" i="5"/>
  <c r="AQ390" i="5"/>
  <c r="AR390" i="5"/>
  <c r="AR263" i="5"/>
  <c r="AQ263" i="5"/>
  <c r="AR311" i="5"/>
  <c r="AQ311" i="5"/>
  <c r="AR359" i="5"/>
  <c r="AQ359" i="5"/>
  <c r="AQ442" i="5"/>
  <c r="AR442" i="5"/>
  <c r="AQ470" i="5"/>
  <c r="AR470" i="5"/>
  <c r="AQ518" i="5"/>
  <c r="AR518" i="5"/>
  <c r="AR481" i="5"/>
  <c r="AQ481" i="5"/>
  <c r="AR529" i="5"/>
  <c r="AQ529" i="5"/>
  <c r="AR524" i="5"/>
  <c r="AQ524" i="5"/>
  <c r="AR403" i="5"/>
  <c r="AQ403" i="5"/>
  <c r="AR451" i="5"/>
  <c r="AQ451" i="5"/>
  <c r="AR499" i="5"/>
  <c r="AQ499" i="5"/>
  <c r="AR547" i="5"/>
  <c r="AQ547" i="5"/>
  <c r="AQ284" i="5"/>
  <c r="AR284" i="5"/>
  <c r="AR211" i="5"/>
  <c r="AQ211" i="5"/>
  <c r="AQ308" i="5"/>
  <c r="AR308" i="5"/>
  <c r="AQ410" i="5"/>
  <c r="AR410" i="5"/>
  <c r="AQ546" i="5"/>
  <c r="AR546" i="5"/>
  <c r="AR527" i="5"/>
  <c r="AQ527" i="5"/>
  <c r="AQ237" i="5"/>
  <c r="AR237" i="5"/>
  <c r="AQ78" i="5"/>
  <c r="AR78" i="5"/>
  <c r="AQ68" i="5"/>
  <c r="AR68" i="5"/>
  <c r="AR39" i="5"/>
  <c r="AQ39" i="5"/>
  <c r="AR123" i="5"/>
  <c r="AQ123" i="5"/>
  <c r="AQ52" i="5"/>
  <c r="AR52" i="5"/>
  <c r="AR46" i="5"/>
  <c r="AQ46" i="5"/>
  <c r="AQ31" i="5"/>
  <c r="AR31" i="5"/>
  <c r="AR19" i="5"/>
  <c r="AQ19" i="5"/>
  <c r="AQ127" i="5"/>
  <c r="AR127" i="5"/>
  <c r="AQ280" i="5"/>
  <c r="AR280" i="5"/>
  <c r="AR22" i="5"/>
  <c r="AQ22" i="5"/>
  <c r="AR97" i="5"/>
  <c r="AQ97" i="5"/>
  <c r="AQ139" i="5"/>
  <c r="AR60" i="5"/>
  <c r="AQ60" i="5"/>
  <c r="AR162" i="5"/>
  <c r="AQ162" i="5"/>
  <c r="AR155" i="5"/>
  <c r="AQ155" i="5"/>
  <c r="AR30" i="5"/>
  <c r="AQ30" i="5"/>
  <c r="AR99" i="5"/>
  <c r="AQ99" i="5"/>
  <c r="AQ381" i="5"/>
  <c r="AR381" i="5"/>
  <c r="AQ354" i="5"/>
  <c r="AR354" i="5"/>
  <c r="AQ365" i="5"/>
  <c r="AR365" i="5"/>
  <c r="AR140" i="5"/>
  <c r="AQ140" i="5"/>
  <c r="AQ232" i="5"/>
  <c r="AR232" i="5"/>
  <c r="AQ329" i="5"/>
  <c r="AR329" i="5"/>
  <c r="AQ326" i="5"/>
  <c r="AR326" i="5"/>
  <c r="AQ458" i="5"/>
  <c r="AR458" i="5"/>
  <c r="AR372" i="5"/>
  <c r="AQ372" i="5"/>
  <c r="AR267" i="5"/>
  <c r="AQ267" i="5"/>
  <c r="AR315" i="5"/>
  <c r="AQ315" i="5"/>
  <c r="AR363" i="5"/>
  <c r="AQ363" i="5"/>
  <c r="AQ454" i="5"/>
  <c r="AR454" i="5"/>
  <c r="AQ474" i="5"/>
  <c r="AR474" i="5"/>
  <c r="AQ522" i="5"/>
  <c r="AR522" i="5"/>
  <c r="AR437" i="5"/>
  <c r="AQ437" i="5"/>
  <c r="AR533" i="5"/>
  <c r="AQ533" i="5"/>
  <c r="AR480" i="5"/>
  <c r="AQ480" i="5"/>
  <c r="AR407" i="5"/>
  <c r="AQ407" i="5"/>
  <c r="AR455" i="5"/>
  <c r="AQ455" i="5"/>
  <c r="AR503" i="5"/>
  <c r="AQ503" i="5"/>
  <c r="AR551" i="5"/>
  <c r="AQ551" i="5"/>
  <c r="AR104" i="5"/>
  <c r="AQ104" i="5"/>
  <c r="AR212" i="5"/>
  <c r="AQ212" i="5"/>
  <c r="AR109" i="5"/>
  <c r="AQ109" i="5"/>
  <c r="AR118" i="5"/>
  <c r="AQ118" i="5"/>
  <c r="AQ370" i="5"/>
  <c r="AR370" i="5"/>
  <c r="AQ374" i="5"/>
  <c r="AR374" i="5"/>
  <c r="AR192" i="5"/>
  <c r="AQ192" i="5"/>
  <c r="AQ337" i="5"/>
  <c r="AR337" i="5"/>
  <c r="AQ334" i="5"/>
  <c r="AR334" i="5"/>
  <c r="AR391" i="5"/>
  <c r="AQ391" i="5"/>
  <c r="AR376" i="5"/>
  <c r="AQ376" i="5"/>
  <c r="AQ404" i="5"/>
  <c r="AR404" i="5"/>
  <c r="AR319" i="5"/>
  <c r="AQ319" i="5"/>
  <c r="AQ386" i="5"/>
  <c r="AR386" i="5"/>
  <c r="AR441" i="5"/>
  <c r="AQ441" i="5"/>
  <c r="AR489" i="5"/>
  <c r="AQ489" i="5"/>
  <c r="AR537" i="5"/>
  <c r="AQ537" i="5"/>
  <c r="AR484" i="5"/>
  <c r="AQ484" i="5"/>
  <c r="AR532" i="5"/>
  <c r="AQ532" i="5"/>
  <c r="AR411" i="5"/>
  <c r="AQ411" i="5"/>
  <c r="AR459" i="5"/>
  <c r="AQ459" i="5"/>
  <c r="AR507" i="5"/>
  <c r="AQ507" i="5"/>
  <c r="AR555" i="5"/>
  <c r="AQ555" i="5"/>
  <c r="AQ64" i="5"/>
  <c r="AR64" i="5"/>
  <c r="AR217" i="5"/>
  <c r="AQ217" i="5"/>
  <c r="AR116" i="5"/>
  <c r="AQ116" i="5"/>
  <c r="AR461" i="5"/>
  <c r="AQ461" i="5"/>
  <c r="AR42" i="5"/>
  <c r="AQ42" i="5"/>
  <c r="AR20" i="5"/>
  <c r="AQ20" i="5"/>
  <c r="AQ296" i="5"/>
  <c r="AR296" i="5"/>
  <c r="AR149" i="5"/>
  <c r="AQ149" i="5"/>
  <c r="AR165" i="5"/>
  <c r="AQ165" i="5"/>
  <c r="AQ397" i="5"/>
  <c r="AR397" i="5"/>
  <c r="AQ102" i="5"/>
  <c r="AR102" i="5"/>
  <c r="AR133" i="5"/>
  <c r="AQ133" i="5"/>
  <c r="AR56" i="5"/>
  <c r="AQ56" i="5"/>
  <c r="AR157" i="5"/>
  <c r="AQ157" i="5"/>
  <c r="AQ234" i="5"/>
  <c r="AR28" i="5"/>
  <c r="AQ28" i="5"/>
  <c r="AQ44" i="5"/>
  <c r="AR44" i="5"/>
  <c r="AR171" i="5"/>
  <c r="AR50" i="5"/>
  <c r="AQ50" i="5"/>
  <c r="AR122" i="5"/>
  <c r="AQ122" i="5"/>
  <c r="AR163" i="5"/>
  <c r="AQ163" i="5"/>
  <c r="AR207" i="5"/>
  <c r="AQ207" i="5"/>
  <c r="AR210" i="5"/>
  <c r="AQ210" i="5"/>
  <c r="AR179" i="5"/>
  <c r="AQ179" i="5"/>
  <c r="AR58" i="5"/>
  <c r="AQ58" i="5"/>
  <c r="AR110" i="5"/>
  <c r="AQ110" i="5"/>
  <c r="AQ285" i="5"/>
  <c r="AR285" i="5"/>
  <c r="AQ274" i="5"/>
  <c r="AR274" i="5"/>
  <c r="AQ385" i="5"/>
  <c r="AR385" i="5"/>
  <c r="AQ389" i="5"/>
  <c r="AR389" i="5"/>
  <c r="AR196" i="5"/>
  <c r="AQ196" i="5"/>
  <c r="AQ238" i="5"/>
  <c r="AR238" i="5"/>
  <c r="AQ345" i="5"/>
  <c r="AR345" i="5"/>
  <c r="AQ342" i="5"/>
  <c r="AR342" i="5"/>
  <c r="AQ394" i="5"/>
  <c r="AR394" i="5"/>
  <c r="AR380" i="5"/>
  <c r="AQ380" i="5"/>
  <c r="AQ412" i="5"/>
  <c r="AR412" i="5"/>
  <c r="AR275" i="5"/>
  <c r="AQ275" i="5"/>
  <c r="AR323" i="5"/>
  <c r="AQ323" i="5"/>
  <c r="AR371" i="5"/>
  <c r="AQ371" i="5"/>
  <c r="AR392" i="5"/>
  <c r="AQ392" i="5"/>
  <c r="AQ482" i="5"/>
  <c r="AR482" i="5"/>
  <c r="AQ530" i="5"/>
  <c r="AR530" i="5"/>
  <c r="AR493" i="5"/>
  <c r="AR541" i="5"/>
  <c r="AQ541" i="5"/>
  <c r="AR488" i="5"/>
  <c r="AQ488" i="5"/>
  <c r="AR536" i="5"/>
  <c r="AQ536" i="5"/>
  <c r="AR415" i="5"/>
  <c r="AQ415" i="5"/>
  <c r="AR463" i="5"/>
  <c r="AQ463" i="5"/>
  <c r="AR511" i="5"/>
  <c r="AQ511" i="5"/>
  <c r="AD7" i="5"/>
  <c r="B155" i="2" s="1"/>
  <c r="B156" i="2" s="1"/>
  <c r="B157" i="2" s="1"/>
  <c r="B167" i="2" s="1"/>
  <c r="F68" i="1" s="1"/>
  <c r="AE7" i="5"/>
  <c r="S54" i="5"/>
  <c r="R54" i="5"/>
  <c r="R168" i="5"/>
  <c r="S168" i="5"/>
  <c r="R408" i="5"/>
  <c r="S408" i="5"/>
  <c r="S451" i="5"/>
  <c r="R451" i="5"/>
  <c r="V139" i="5"/>
  <c r="AC139" i="5"/>
  <c r="U139" i="5"/>
  <c r="R75" i="5"/>
  <c r="S75" i="5"/>
  <c r="S111" i="5"/>
  <c r="R111" i="5"/>
  <c r="S118" i="5"/>
  <c r="R118" i="5"/>
  <c r="S207" i="5"/>
  <c r="R207" i="5"/>
  <c r="S274" i="5"/>
  <c r="R274" i="5"/>
  <c r="S398" i="5"/>
  <c r="R398" i="5"/>
  <c r="S96" i="5"/>
  <c r="R96" i="5"/>
  <c r="R83" i="5"/>
  <c r="S83" i="5"/>
  <c r="R95" i="5"/>
  <c r="S95" i="5"/>
  <c r="S122" i="5"/>
  <c r="R122" i="5"/>
  <c r="S127" i="5"/>
  <c r="R127" i="5"/>
  <c r="S183" i="5"/>
  <c r="R183" i="5"/>
  <c r="S241" i="5"/>
  <c r="R241" i="5"/>
  <c r="S284" i="5"/>
  <c r="R284" i="5"/>
  <c r="S19" i="5"/>
  <c r="R19" i="5"/>
  <c r="S28" i="5"/>
  <c r="R28" i="5"/>
  <c r="S123" i="5"/>
  <c r="R123" i="5"/>
  <c r="R91" i="5"/>
  <c r="S91" i="5"/>
  <c r="S89" i="5"/>
  <c r="R89" i="5"/>
  <c r="R9" i="5"/>
  <c r="S9" i="5"/>
  <c r="S66" i="5"/>
  <c r="R66" i="5"/>
  <c r="T11" i="5"/>
  <c r="Q11" i="5"/>
  <c r="AM11" i="5"/>
  <c r="AJ11" i="5"/>
  <c r="AG11" i="5"/>
  <c r="Z11" i="5"/>
  <c r="W11" i="5"/>
  <c r="S47" i="5"/>
  <c r="R47" i="5"/>
  <c r="R93" i="5"/>
  <c r="S93" i="5"/>
  <c r="R99" i="5"/>
  <c r="S99" i="5"/>
  <c r="R45" i="5"/>
  <c r="S45" i="5"/>
  <c r="R103" i="5"/>
  <c r="S103" i="5"/>
  <c r="R59" i="5"/>
  <c r="S59" i="5"/>
  <c r="S154" i="5"/>
  <c r="R154" i="5"/>
  <c r="S158" i="5"/>
  <c r="R158" i="5"/>
  <c r="S196" i="5"/>
  <c r="R196" i="5"/>
  <c r="S120" i="5"/>
  <c r="R120" i="5"/>
  <c r="S155" i="5"/>
  <c r="R155" i="5"/>
  <c r="R262" i="5"/>
  <c r="S262" i="5"/>
  <c r="S173" i="5"/>
  <c r="R173" i="5"/>
  <c r="S189" i="5"/>
  <c r="R189" i="5"/>
  <c r="S217" i="5"/>
  <c r="R217" i="5"/>
  <c r="S263" i="5"/>
  <c r="R263" i="5"/>
  <c r="S240" i="5"/>
  <c r="R240" i="5"/>
  <c r="S239" i="5"/>
  <c r="R239" i="5"/>
  <c r="R259" i="5"/>
  <c r="S259" i="5"/>
  <c r="S316" i="5"/>
  <c r="R316" i="5"/>
  <c r="S414" i="5"/>
  <c r="R414" i="5"/>
  <c r="R293" i="5"/>
  <c r="S293" i="5"/>
  <c r="S272" i="5"/>
  <c r="R272" i="5"/>
  <c r="R315" i="5"/>
  <c r="S315" i="5"/>
  <c r="R392" i="5"/>
  <c r="S392" i="5"/>
  <c r="R354" i="5"/>
  <c r="S354" i="5"/>
  <c r="S336" i="5"/>
  <c r="R336" i="5"/>
  <c r="R335" i="5"/>
  <c r="S335" i="5"/>
  <c r="R428" i="5"/>
  <c r="S428" i="5"/>
  <c r="S403" i="5"/>
  <c r="R403" i="5"/>
  <c r="S372" i="5"/>
  <c r="R372" i="5"/>
  <c r="R424" i="5"/>
  <c r="S424" i="5"/>
  <c r="R461" i="5"/>
  <c r="S461" i="5"/>
  <c r="S466" i="5"/>
  <c r="R466" i="5"/>
  <c r="R457" i="5"/>
  <c r="S457" i="5"/>
  <c r="R447" i="5"/>
  <c r="S447" i="5"/>
  <c r="S456" i="5"/>
  <c r="R456" i="5"/>
  <c r="S517" i="5"/>
  <c r="R517" i="5"/>
  <c r="R486" i="5"/>
  <c r="S486" i="5"/>
  <c r="S541" i="5"/>
  <c r="R541" i="5"/>
  <c r="R513" i="5"/>
  <c r="S513" i="5"/>
  <c r="S555" i="5"/>
  <c r="R555" i="5"/>
  <c r="S557" i="5"/>
  <c r="R557" i="5"/>
  <c r="V51" i="5"/>
  <c r="AC51" i="5"/>
  <c r="U51" i="5"/>
  <c r="AC40" i="5"/>
  <c r="U40" i="5"/>
  <c r="V40" i="5"/>
  <c r="V13" i="5"/>
  <c r="U13" i="5"/>
  <c r="AC13" i="5"/>
  <c r="V66" i="5"/>
  <c r="U66" i="5"/>
  <c r="AC66" i="5"/>
  <c r="AC110" i="5"/>
  <c r="U110" i="5"/>
  <c r="V110" i="5"/>
  <c r="U86" i="5"/>
  <c r="V86" i="5"/>
  <c r="AC86" i="5"/>
  <c r="U90" i="5"/>
  <c r="V90" i="5"/>
  <c r="AC90" i="5"/>
  <c r="U157" i="5"/>
  <c r="AC157" i="5"/>
  <c r="V157" i="5"/>
  <c r="U133" i="5"/>
  <c r="V133" i="5"/>
  <c r="AC133" i="5"/>
  <c r="AC100" i="5"/>
  <c r="V100" i="5"/>
  <c r="U100" i="5"/>
  <c r="U141" i="5"/>
  <c r="V141" i="5"/>
  <c r="AC141" i="5"/>
  <c r="V219" i="5"/>
  <c r="U219" i="5"/>
  <c r="AC219" i="5"/>
  <c r="AC167" i="5"/>
  <c r="V167" i="5"/>
  <c r="U167" i="5"/>
  <c r="V220" i="5"/>
  <c r="AC220" i="5"/>
  <c r="U220" i="5"/>
  <c r="V166" i="5"/>
  <c r="U166" i="5"/>
  <c r="AC166" i="5"/>
  <c r="AC236" i="5"/>
  <c r="V236" i="5"/>
  <c r="U236" i="5"/>
  <c r="U243" i="5"/>
  <c r="AC243" i="5"/>
  <c r="V243" i="5"/>
  <c r="AC239" i="5"/>
  <c r="V239" i="5"/>
  <c r="U239" i="5"/>
  <c r="U290" i="5"/>
  <c r="AC290" i="5"/>
  <c r="V290" i="5"/>
  <c r="V234" i="5"/>
  <c r="U234" i="5"/>
  <c r="AC234" i="5"/>
  <c r="U225" i="5"/>
  <c r="AC225" i="5"/>
  <c r="V225" i="5"/>
  <c r="AC285" i="5"/>
  <c r="V285" i="5"/>
  <c r="U285" i="5"/>
  <c r="V257" i="5"/>
  <c r="U257" i="5"/>
  <c r="AC257" i="5"/>
  <c r="V313" i="5"/>
  <c r="AC313" i="5"/>
  <c r="U313" i="5"/>
  <c r="U307" i="5"/>
  <c r="V307" i="5"/>
  <c r="AC307" i="5"/>
  <c r="V317" i="5"/>
  <c r="AC317" i="5"/>
  <c r="U317" i="5"/>
  <c r="U359" i="5"/>
  <c r="AC359" i="5"/>
  <c r="V359" i="5"/>
  <c r="U347" i="5"/>
  <c r="V347" i="5"/>
  <c r="AC347" i="5"/>
  <c r="U348" i="5"/>
  <c r="V348" i="5"/>
  <c r="AC348" i="5"/>
  <c r="AC346" i="5"/>
  <c r="U346" i="5"/>
  <c r="V346" i="5"/>
  <c r="V404" i="5"/>
  <c r="U404" i="5"/>
  <c r="AC404" i="5"/>
  <c r="AC423" i="5"/>
  <c r="V423" i="5"/>
  <c r="U423" i="5"/>
  <c r="U421" i="5"/>
  <c r="V421" i="5"/>
  <c r="AC421" i="5"/>
  <c r="U429" i="5"/>
  <c r="V429" i="5"/>
  <c r="AC429" i="5"/>
  <c r="U417" i="5"/>
  <c r="V417" i="5"/>
  <c r="AC417" i="5"/>
  <c r="U454" i="5"/>
  <c r="V454" i="5"/>
  <c r="AC454" i="5"/>
  <c r="V464" i="5"/>
  <c r="U464" i="5"/>
  <c r="AC464" i="5"/>
  <c r="V479" i="5"/>
  <c r="U479" i="5"/>
  <c r="AC479" i="5"/>
  <c r="V451" i="5"/>
  <c r="AC451" i="5"/>
  <c r="U451" i="5"/>
  <c r="V471" i="5"/>
  <c r="U471" i="5"/>
  <c r="AC471" i="5"/>
  <c r="V521" i="5"/>
  <c r="U521" i="5"/>
  <c r="AC521" i="5"/>
  <c r="V542" i="5"/>
  <c r="U542" i="5"/>
  <c r="AC542" i="5"/>
  <c r="AC494" i="5"/>
  <c r="U494" i="5"/>
  <c r="V494" i="5"/>
  <c r="V545" i="5"/>
  <c r="U545" i="5"/>
  <c r="AC545" i="5"/>
  <c r="V543" i="5"/>
  <c r="U543" i="5"/>
  <c r="AC543" i="5"/>
  <c r="R51" i="5"/>
  <c r="S51" i="5"/>
  <c r="S206" i="5"/>
  <c r="R206" i="5"/>
  <c r="S261" i="5"/>
  <c r="R261" i="5"/>
  <c r="S407" i="5"/>
  <c r="R407" i="5"/>
  <c r="S521" i="5"/>
  <c r="R521" i="5"/>
  <c r="AC45" i="5"/>
  <c r="V45" i="5"/>
  <c r="U45" i="5"/>
  <c r="V148" i="5"/>
  <c r="U148" i="5"/>
  <c r="AC148" i="5"/>
  <c r="AC256" i="5"/>
  <c r="U256" i="5"/>
  <c r="V256" i="5"/>
  <c r="U304" i="5"/>
  <c r="AC304" i="5"/>
  <c r="V304" i="5"/>
  <c r="U368" i="5"/>
  <c r="AC368" i="5"/>
  <c r="V368" i="5"/>
  <c r="V453" i="5"/>
  <c r="AC453" i="5"/>
  <c r="U453" i="5"/>
  <c r="V461" i="5"/>
  <c r="U461" i="5"/>
  <c r="AC461" i="5"/>
  <c r="V532" i="5"/>
  <c r="U532" i="5"/>
  <c r="AC532" i="5"/>
  <c r="AC549" i="5"/>
  <c r="V549" i="5"/>
  <c r="U549" i="5"/>
  <c r="S23" i="5"/>
  <c r="R23" i="5"/>
  <c r="R67" i="5"/>
  <c r="S67" i="5"/>
  <c r="S179" i="5"/>
  <c r="R179" i="5"/>
  <c r="S223" i="5"/>
  <c r="R223" i="5"/>
  <c r="S268" i="5"/>
  <c r="R268" i="5"/>
  <c r="S248" i="5"/>
  <c r="R248" i="5"/>
  <c r="S382" i="5"/>
  <c r="R382" i="5"/>
  <c r="S341" i="5"/>
  <c r="R341" i="5"/>
  <c r="S402" i="5"/>
  <c r="R402" i="5"/>
  <c r="S349" i="5"/>
  <c r="R349" i="5"/>
  <c r="S352" i="5"/>
  <c r="R352" i="5"/>
  <c r="S535" i="5"/>
  <c r="R535" i="5"/>
  <c r="S411" i="5"/>
  <c r="R411" i="5"/>
  <c r="S380" i="5"/>
  <c r="R380" i="5"/>
  <c r="R371" i="5"/>
  <c r="S371" i="5"/>
  <c r="S547" i="5"/>
  <c r="R547" i="5"/>
  <c r="S482" i="5"/>
  <c r="R482" i="5"/>
  <c r="R469" i="5"/>
  <c r="S469" i="5"/>
  <c r="S476" i="5"/>
  <c r="R476" i="5"/>
  <c r="S468" i="5"/>
  <c r="R468" i="5"/>
  <c r="S533" i="5"/>
  <c r="R533" i="5"/>
  <c r="S522" i="5"/>
  <c r="R522" i="5"/>
  <c r="S512" i="5"/>
  <c r="R512" i="5"/>
  <c r="S528" i="5"/>
  <c r="R528" i="5"/>
  <c r="S530" i="5"/>
  <c r="R530" i="5"/>
  <c r="AC124" i="5"/>
  <c r="U124" i="5"/>
  <c r="V124" i="5"/>
  <c r="AC58" i="5"/>
  <c r="V58" i="5"/>
  <c r="U58" i="5"/>
  <c r="AC87" i="5"/>
  <c r="V87" i="5"/>
  <c r="U87" i="5"/>
  <c r="V29" i="5"/>
  <c r="U29" i="5"/>
  <c r="AC29" i="5"/>
  <c r="V73" i="5"/>
  <c r="U73" i="5"/>
  <c r="AC73" i="5"/>
  <c r="V42" i="5"/>
  <c r="U42" i="5"/>
  <c r="AC42" i="5"/>
  <c r="U27" i="5"/>
  <c r="AC27" i="5"/>
  <c r="V27" i="5"/>
  <c r="AC67" i="5"/>
  <c r="U67" i="5"/>
  <c r="V67" i="5"/>
  <c r="AC56" i="5"/>
  <c r="V56" i="5"/>
  <c r="U56" i="5"/>
  <c r="U88" i="5"/>
  <c r="V88" i="5"/>
  <c r="AC88" i="5"/>
  <c r="V152" i="5"/>
  <c r="U152" i="5"/>
  <c r="AC152" i="5"/>
  <c r="U153" i="5"/>
  <c r="AC153" i="5"/>
  <c r="V153" i="5"/>
  <c r="V113" i="5"/>
  <c r="U113" i="5"/>
  <c r="AC113" i="5"/>
  <c r="AC171" i="5"/>
  <c r="V171" i="5"/>
  <c r="U171" i="5"/>
  <c r="V199" i="5"/>
  <c r="U199" i="5"/>
  <c r="AC199" i="5"/>
  <c r="V174" i="5"/>
  <c r="AC174" i="5"/>
  <c r="U174" i="5"/>
  <c r="V173" i="5"/>
  <c r="U173" i="5"/>
  <c r="AC173" i="5"/>
  <c r="AC168" i="5"/>
  <c r="U168" i="5"/>
  <c r="V168" i="5"/>
  <c r="U273" i="5"/>
  <c r="AC273" i="5"/>
  <c r="V273" i="5"/>
  <c r="U308" i="5"/>
  <c r="AC308" i="5"/>
  <c r="V308" i="5"/>
  <c r="AC260" i="5"/>
  <c r="V260" i="5"/>
  <c r="U260" i="5"/>
  <c r="U233" i="5"/>
  <c r="AC233" i="5"/>
  <c r="V233" i="5"/>
  <c r="U280" i="5"/>
  <c r="AC280" i="5"/>
  <c r="V280" i="5"/>
  <c r="V265" i="5"/>
  <c r="AC265" i="5"/>
  <c r="U265" i="5"/>
  <c r="U319" i="5"/>
  <c r="V319" i="5"/>
  <c r="AC319" i="5"/>
  <c r="U311" i="5"/>
  <c r="V311" i="5"/>
  <c r="AC311" i="5"/>
  <c r="U324" i="5"/>
  <c r="V324" i="5"/>
  <c r="AC324" i="5"/>
  <c r="V350" i="5"/>
  <c r="U350" i="5"/>
  <c r="AC350" i="5"/>
  <c r="AC375" i="5"/>
  <c r="V375" i="5"/>
  <c r="U375" i="5"/>
  <c r="U343" i="5"/>
  <c r="V343" i="5"/>
  <c r="AC343" i="5"/>
  <c r="U422" i="5"/>
  <c r="AC422" i="5"/>
  <c r="V422" i="5"/>
  <c r="V408" i="5"/>
  <c r="U408" i="5"/>
  <c r="AC408" i="5"/>
  <c r="U385" i="5"/>
  <c r="V385" i="5"/>
  <c r="AC385" i="5"/>
  <c r="V473" i="5"/>
  <c r="AC473" i="5"/>
  <c r="U473" i="5"/>
  <c r="U376" i="5"/>
  <c r="AC376" i="5"/>
  <c r="V376" i="5"/>
  <c r="AC430" i="5"/>
  <c r="V430" i="5"/>
  <c r="U430" i="5"/>
  <c r="U466" i="5"/>
  <c r="V466" i="5"/>
  <c r="AC466" i="5"/>
  <c r="V472" i="5"/>
  <c r="U472" i="5"/>
  <c r="AC472" i="5"/>
  <c r="V460" i="5"/>
  <c r="U460" i="5"/>
  <c r="AC460" i="5"/>
  <c r="AC480" i="5"/>
  <c r="V480" i="5"/>
  <c r="U480" i="5"/>
  <c r="V478" i="5"/>
  <c r="U478" i="5"/>
  <c r="AC478" i="5"/>
  <c r="V544" i="5"/>
  <c r="U544" i="5"/>
  <c r="AC544" i="5"/>
  <c r="V524" i="5"/>
  <c r="U524" i="5"/>
  <c r="AC524" i="5"/>
  <c r="AC498" i="5"/>
  <c r="U498" i="5"/>
  <c r="V498" i="5"/>
  <c r="AC553" i="5"/>
  <c r="V553" i="5"/>
  <c r="U553" i="5"/>
  <c r="V551" i="5"/>
  <c r="U551" i="5"/>
  <c r="AC551" i="5"/>
  <c r="S68" i="5"/>
  <c r="R68" i="5"/>
  <c r="S222" i="5"/>
  <c r="R222" i="5"/>
  <c r="S270" i="5"/>
  <c r="R270" i="5"/>
  <c r="S429" i="5"/>
  <c r="R429" i="5"/>
  <c r="S537" i="5"/>
  <c r="R537" i="5"/>
  <c r="U68" i="5"/>
  <c r="V68" i="5"/>
  <c r="AC68" i="5"/>
  <c r="U247" i="5"/>
  <c r="AC247" i="5"/>
  <c r="V247" i="5"/>
  <c r="V250" i="5"/>
  <c r="U250" i="5"/>
  <c r="AC250" i="5"/>
  <c r="V309" i="5"/>
  <c r="U309" i="5"/>
  <c r="AC309" i="5"/>
  <c r="U364" i="5"/>
  <c r="AC364" i="5"/>
  <c r="V364" i="5"/>
  <c r="V426" i="5"/>
  <c r="U426" i="5"/>
  <c r="AC426" i="5"/>
  <c r="V516" i="5"/>
  <c r="AC516" i="5"/>
  <c r="U516" i="5"/>
  <c r="V475" i="5"/>
  <c r="U475" i="5"/>
  <c r="AC475" i="5"/>
  <c r="V547" i="5"/>
  <c r="U547" i="5"/>
  <c r="AC547" i="5"/>
  <c r="S80" i="5"/>
  <c r="R80" i="5"/>
  <c r="S180" i="5"/>
  <c r="R180" i="5"/>
  <c r="S117" i="5"/>
  <c r="R117" i="5"/>
  <c r="S172" i="5"/>
  <c r="R172" i="5"/>
  <c r="R258" i="5"/>
  <c r="S258" i="5"/>
  <c r="S276" i="5"/>
  <c r="R276" i="5"/>
  <c r="R49" i="5"/>
  <c r="S49" i="5"/>
  <c r="S13" i="5"/>
  <c r="R13" i="5"/>
  <c r="S38" i="5"/>
  <c r="R38" i="5"/>
  <c r="S108" i="5"/>
  <c r="R108" i="5"/>
  <c r="S46" i="5"/>
  <c r="R46" i="5"/>
  <c r="S26" i="5"/>
  <c r="R26" i="5"/>
  <c r="R79" i="5"/>
  <c r="S79" i="5"/>
  <c r="S159" i="5"/>
  <c r="R159" i="5"/>
  <c r="S98" i="5"/>
  <c r="R98" i="5"/>
  <c r="S202" i="5"/>
  <c r="R202" i="5"/>
  <c r="S214" i="5"/>
  <c r="R214" i="5"/>
  <c r="S121" i="5"/>
  <c r="R121" i="5"/>
  <c r="S149" i="5"/>
  <c r="R149" i="5"/>
  <c r="S174" i="5"/>
  <c r="R174" i="5"/>
  <c r="R254" i="5"/>
  <c r="S254" i="5"/>
  <c r="S204" i="5"/>
  <c r="R204" i="5"/>
  <c r="S176" i="5"/>
  <c r="R176" i="5"/>
  <c r="S167" i="5"/>
  <c r="R167" i="5"/>
  <c r="S282" i="5"/>
  <c r="R282" i="5"/>
  <c r="S225" i="5"/>
  <c r="R225" i="5"/>
  <c r="S271" i="5"/>
  <c r="R271" i="5"/>
  <c r="R277" i="5"/>
  <c r="S277" i="5"/>
  <c r="S252" i="5"/>
  <c r="R252" i="5"/>
  <c r="S286" i="5"/>
  <c r="R286" i="5"/>
  <c r="S288" i="5"/>
  <c r="R288" i="5"/>
  <c r="S302" i="5"/>
  <c r="R302" i="5"/>
  <c r="R342" i="5"/>
  <c r="S342" i="5"/>
  <c r="S345" i="5"/>
  <c r="R345" i="5"/>
  <c r="S418" i="5"/>
  <c r="R418" i="5"/>
  <c r="R351" i="5"/>
  <c r="S351" i="5"/>
  <c r="R359" i="5"/>
  <c r="S359" i="5"/>
  <c r="S385" i="5"/>
  <c r="R385" i="5"/>
  <c r="S415" i="5"/>
  <c r="R415" i="5"/>
  <c r="S384" i="5"/>
  <c r="R384" i="5"/>
  <c r="R375" i="5"/>
  <c r="S375" i="5"/>
  <c r="S440" i="5"/>
  <c r="R440" i="5"/>
  <c r="S489" i="5"/>
  <c r="R489" i="5"/>
  <c r="S479" i="5"/>
  <c r="R479" i="5"/>
  <c r="R498" i="5"/>
  <c r="S498" i="5"/>
  <c r="R496" i="5"/>
  <c r="S496" i="5"/>
  <c r="S545" i="5"/>
  <c r="R545" i="5"/>
  <c r="S531" i="5"/>
  <c r="R531" i="5"/>
  <c r="S525" i="5"/>
  <c r="R525" i="5"/>
  <c r="S532" i="5"/>
  <c r="R532" i="5"/>
  <c r="S534" i="5"/>
  <c r="R534" i="5"/>
  <c r="V30" i="5"/>
  <c r="U30" i="5"/>
  <c r="AC30" i="5"/>
  <c r="U84" i="5"/>
  <c r="AC84" i="5"/>
  <c r="V84" i="5"/>
  <c r="V8" i="5"/>
  <c r="U8" i="5"/>
  <c r="AC8" i="5"/>
  <c r="V43" i="5"/>
  <c r="U43" i="5"/>
  <c r="AC43" i="5"/>
  <c r="V78" i="5"/>
  <c r="U78" i="5"/>
  <c r="AC78" i="5"/>
  <c r="V47" i="5"/>
  <c r="U47" i="5"/>
  <c r="AC47" i="5"/>
  <c r="U46" i="5"/>
  <c r="AC46" i="5"/>
  <c r="V46" i="5"/>
  <c r="AC79" i="5"/>
  <c r="U79" i="5"/>
  <c r="V79" i="5"/>
  <c r="V91" i="5"/>
  <c r="AC91" i="5"/>
  <c r="U91" i="5"/>
  <c r="AC102" i="5"/>
  <c r="U102" i="5"/>
  <c r="V102" i="5"/>
  <c r="V186" i="5"/>
  <c r="U186" i="5"/>
  <c r="AC186" i="5"/>
  <c r="U165" i="5"/>
  <c r="AC165" i="5"/>
  <c r="V165" i="5"/>
  <c r="V117" i="5"/>
  <c r="U117" i="5"/>
  <c r="AC117" i="5"/>
  <c r="AC175" i="5"/>
  <c r="V175" i="5"/>
  <c r="U175" i="5"/>
  <c r="AC228" i="5"/>
  <c r="V228" i="5"/>
  <c r="U228" i="5"/>
  <c r="V223" i="5"/>
  <c r="U223" i="5"/>
  <c r="AC223" i="5"/>
  <c r="V179" i="5"/>
  <c r="U179" i="5"/>
  <c r="AC179" i="5"/>
  <c r="AC172" i="5"/>
  <c r="V172" i="5"/>
  <c r="U172" i="5"/>
  <c r="U302" i="5"/>
  <c r="AC302" i="5"/>
  <c r="V302" i="5"/>
  <c r="U255" i="5"/>
  <c r="V255" i="5"/>
  <c r="AC255" i="5"/>
  <c r="AC297" i="5"/>
  <c r="V297" i="5"/>
  <c r="U297" i="5"/>
  <c r="V242" i="5"/>
  <c r="U242" i="5"/>
  <c r="AC242" i="5"/>
  <c r="AC287" i="5"/>
  <c r="V287" i="5"/>
  <c r="U287" i="5"/>
  <c r="V268" i="5"/>
  <c r="AC268" i="5"/>
  <c r="U268" i="5"/>
  <c r="AC371" i="5"/>
  <c r="V371" i="5"/>
  <c r="U371" i="5"/>
  <c r="AC331" i="5"/>
  <c r="V331" i="5"/>
  <c r="U331" i="5"/>
  <c r="AC383" i="5"/>
  <c r="V383" i="5"/>
  <c r="U383" i="5"/>
  <c r="V353" i="5"/>
  <c r="U353" i="5"/>
  <c r="AC353" i="5"/>
  <c r="AC386" i="5"/>
  <c r="V386" i="5"/>
  <c r="U386" i="5"/>
  <c r="U351" i="5"/>
  <c r="V351" i="5"/>
  <c r="AC351" i="5"/>
  <c r="V465" i="5"/>
  <c r="AC465" i="5"/>
  <c r="U465" i="5"/>
  <c r="U410" i="5"/>
  <c r="AC410" i="5"/>
  <c r="V410" i="5"/>
  <c r="U458" i="5"/>
  <c r="AC458" i="5"/>
  <c r="V458" i="5"/>
  <c r="V387" i="5"/>
  <c r="U387" i="5"/>
  <c r="AC387" i="5"/>
  <c r="U380" i="5"/>
  <c r="AC380" i="5"/>
  <c r="V380" i="5"/>
  <c r="AC456" i="5"/>
  <c r="V456" i="5"/>
  <c r="U456" i="5"/>
  <c r="U438" i="5"/>
  <c r="V438" i="5"/>
  <c r="AC438" i="5"/>
  <c r="U435" i="5"/>
  <c r="AC435" i="5"/>
  <c r="V435" i="5"/>
  <c r="V467" i="5"/>
  <c r="U467" i="5"/>
  <c r="AC467" i="5"/>
  <c r="U485" i="5"/>
  <c r="AC485" i="5"/>
  <c r="V485" i="5"/>
  <c r="U481" i="5"/>
  <c r="V481" i="5"/>
  <c r="AC481" i="5"/>
  <c r="U491" i="5"/>
  <c r="AC491" i="5"/>
  <c r="V491" i="5"/>
  <c r="V506" i="5"/>
  <c r="U506" i="5"/>
  <c r="AC506" i="5"/>
  <c r="V500" i="5"/>
  <c r="AC500" i="5"/>
  <c r="U500" i="5"/>
  <c r="AC557" i="5"/>
  <c r="V557" i="5"/>
  <c r="U557" i="5"/>
  <c r="V555" i="5"/>
  <c r="U555" i="5"/>
  <c r="AC555" i="5"/>
  <c r="S177" i="5"/>
  <c r="R177" i="5"/>
  <c r="S231" i="5"/>
  <c r="R231" i="5"/>
  <c r="S340" i="5"/>
  <c r="R340" i="5"/>
  <c r="S458" i="5"/>
  <c r="R458" i="5"/>
  <c r="V19" i="5"/>
  <c r="U19" i="5"/>
  <c r="AC19" i="5"/>
  <c r="V109" i="5"/>
  <c r="U109" i="5"/>
  <c r="AC109" i="5"/>
  <c r="U238" i="5"/>
  <c r="V238" i="5"/>
  <c r="AC238" i="5"/>
  <c r="V261" i="5"/>
  <c r="AC261" i="5"/>
  <c r="U261" i="5"/>
  <c r="V362" i="5"/>
  <c r="U362" i="5"/>
  <c r="AC362" i="5"/>
  <c r="U372" i="5"/>
  <c r="AC372" i="5"/>
  <c r="V372" i="5"/>
  <c r="V455" i="5"/>
  <c r="U455" i="5"/>
  <c r="AC455" i="5"/>
  <c r="V518" i="5"/>
  <c r="U518" i="5"/>
  <c r="AC518" i="5"/>
  <c r="R20" i="5"/>
  <c r="S20" i="5"/>
  <c r="S27" i="5"/>
  <c r="R27" i="5"/>
  <c r="S184" i="5"/>
  <c r="R184" i="5"/>
  <c r="S170" i="5"/>
  <c r="R170" i="5"/>
  <c r="S249" i="5"/>
  <c r="R249" i="5"/>
  <c r="S294" i="5"/>
  <c r="R294" i="5"/>
  <c r="S332" i="5"/>
  <c r="R332" i="5"/>
  <c r="S57" i="5"/>
  <c r="R57" i="5"/>
  <c r="R55" i="5"/>
  <c r="S55" i="5"/>
  <c r="S50" i="5"/>
  <c r="R50" i="5"/>
  <c r="S31" i="5"/>
  <c r="R31" i="5"/>
  <c r="S101" i="5"/>
  <c r="R101" i="5"/>
  <c r="S147" i="5"/>
  <c r="R147" i="5"/>
  <c r="R107" i="5"/>
  <c r="S107" i="5"/>
  <c r="S102" i="5"/>
  <c r="R102" i="5"/>
  <c r="S138" i="5"/>
  <c r="R138" i="5"/>
  <c r="R125" i="5"/>
  <c r="S125" i="5"/>
  <c r="R164" i="5"/>
  <c r="S164" i="5"/>
  <c r="S182" i="5"/>
  <c r="R182" i="5"/>
  <c r="R310" i="5"/>
  <c r="S310" i="5"/>
  <c r="S208" i="5"/>
  <c r="R208" i="5"/>
  <c r="S192" i="5"/>
  <c r="R192" i="5"/>
  <c r="R171" i="5"/>
  <c r="S171" i="5"/>
  <c r="S230" i="5"/>
  <c r="R230" i="5"/>
  <c r="S229" i="5"/>
  <c r="R229" i="5"/>
  <c r="R287" i="5"/>
  <c r="S287" i="5"/>
  <c r="R289" i="5"/>
  <c r="S289" i="5"/>
  <c r="S256" i="5"/>
  <c r="R256" i="5"/>
  <c r="S298" i="5"/>
  <c r="R298" i="5"/>
  <c r="S300" i="5"/>
  <c r="R300" i="5"/>
  <c r="R285" i="5"/>
  <c r="S285" i="5"/>
  <c r="R344" i="5"/>
  <c r="S344" i="5"/>
  <c r="R347" i="5"/>
  <c r="S347" i="5"/>
  <c r="S374" i="5"/>
  <c r="R374" i="5"/>
  <c r="S390" i="5"/>
  <c r="R390" i="5"/>
  <c r="S369" i="5"/>
  <c r="R369" i="5"/>
  <c r="S373" i="5"/>
  <c r="R373" i="5"/>
  <c r="S419" i="5"/>
  <c r="R419" i="5"/>
  <c r="R389" i="5"/>
  <c r="S389" i="5"/>
  <c r="R379" i="5"/>
  <c r="S379" i="5"/>
  <c r="S442" i="5"/>
  <c r="R442" i="5"/>
  <c r="R490" i="5"/>
  <c r="S490" i="5"/>
  <c r="S460" i="5"/>
  <c r="R460" i="5"/>
  <c r="R437" i="5"/>
  <c r="S437" i="5"/>
  <c r="S487" i="5"/>
  <c r="R487" i="5"/>
  <c r="S470" i="5"/>
  <c r="R470" i="5"/>
  <c r="S543" i="5"/>
  <c r="R543" i="5"/>
  <c r="R500" i="5"/>
  <c r="S500" i="5"/>
  <c r="S536" i="5"/>
  <c r="R536" i="5"/>
  <c r="S538" i="5"/>
  <c r="R538" i="5"/>
  <c r="AC31" i="5"/>
  <c r="U31" i="5"/>
  <c r="V31" i="5"/>
  <c r="V20" i="5"/>
  <c r="U20" i="5"/>
  <c r="AC20" i="5"/>
  <c r="V24" i="5"/>
  <c r="U24" i="5"/>
  <c r="AC24" i="5"/>
  <c r="AC53" i="5"/>
  <c r="V53" i="5"/>
  <c r="U53" i="5"/>
  <c r="U80" i="5"/>
  <c r="V80" i="5"/>
  <c r="AC80" i="5"/>
  <c r="V71" i="5"/>
  <c r="U71" i="5"/>
  <c r="AC71" i="5"/>
  <c r="AC52" i="5"/>
  <c r="U52" i="5"/>
  <c r="V52" i="5"/>
  <c r="V101" i="5"/>
  <c r="U101" i="5"/>
  <c r="AC101" i="5"/>
  <c r="V93" i="5"/>
  <c r="U93" i="5"/>
  <c r="AC93" i="5"/>
  <c r="V128" i="5"/>
  <c r="U128" i="5"/>
  <c r="AC128" i="5"/>
  <c r="V103" i="5"/>
  <c r="AC103" i="5"/>
  <c r="U103" i="5"/>
  <c r="U126" i="5"/>
  <c r="V126" i="5"/>
  <c r="AC126" i="5"/>
  <c r="V121" i="5"/>
  <c r="U121" i="5"/>
  <c r="AC121" i="5"/>
  <c r="AC180" i="5"/>
  <c r="V180" i="5"/>
  <c r="U180" i="5"/>
  <c r="V203" i="5"/>
  <c r="U203" i="5"/>
  <c r="AC203" i="5"/>
  <c r="AC224" i="5"/>
  <c r="V224" i="5"/>
  <c r="U224" i="5"/>
  <c r="U259" i="5"/>
  <c r="AC259" i="5"/>
  <c r="V259" i="5"/>
  <c r="V195" i="5"/>
  <c r="U195" i="5"/>
  <c r="AC195" i="5"/>
  <c r="V254" i="5"/>
  <c r="U254" i="5"/>
  <c r="AC254" i="5"/>
  <c r="U263" i="5"/>
  <c r="V263" i="5"/>
  <c r="AC263" i="5"/>
  <c r="AC248" i="5"/>
  <c r="V248" i="5"/>
  <c r="U248" i="5"/>
  <c r="V246" i="5"/>
  <c r="U246" i="5"/>
  <c r="AC246" i="5"/>
  <c r="U292" i="5"/>
  <c r="AC292" i="5"/>
  <c r="V292" i="5"/>
  <c r="U274" i="5"/>
  <c r="V274" i="5"/>
  <c r="AC274" i="5"/>
  <c r="V279" i="5"/>
  <c r="U279" i="5"/>
  <c r="AC279" i="5"/>
  <c r="U360" i="5"/>
  <c r="AC360" i="5"/>
  <c r="V360" i="5"/>
  <c r="U283" i="5"/>
  <c r="AC283" i="5"/>
  <c r="V283" i="5"/>
  <c r="U356" i="5"/>
  <c r="V356" i="5"/>
  <c r="AC356" i="5"/>
  <c r="V441" i="5"/>
  <c r="AC441" i="5"/>
  <c r="U441" i="5"/>
  <c r="U358" i="5"/>
  <c r="V358" i="5"/>
  <c r="AC358" i="5"/>
  <c r="V388" i="5"/>
  <c r="U388" i="5"/>
  <c r="AC388" i="5"/>
  <c r="V412" i="5"/>
  <c r="U412" i="5"/>
  <c r="AC412" i="5"/>
  <c r="V361" i="5"/>
  <c r="U361" i="5"/>
  <c r="AC361" i="5"/>
  <c r="V391" i="5"/>
  <c r="U391" i="5"/>
  <c r="AC391" i="5"/>
  <c r="U384" i="5"/>
  <c r="AC384" i="5"/>
  <c r="V384" i="5"/>
  <c r="V463" i="5"/>
  <c r="U463" i="5"/>
  <c r="AC463" i="5"/>
  <c r="V440" i="5"/>
  <c r="U440" i="5"/>
  <c r="AC440" i="5"/>
  <c r="AC510" i="5"/>
  <c r="V510" i="5"/>
  <c r="U510" i="5"/>
  <c r="V483" i="5"/>
  <c r="AC483" i="5"/>
  <c r="U483" i="5"/>
  <c r="V482" i="5"/>
  <c r="U482" i="5"/>
  <c r="AC482" i="5"/>
  <c r="U484" i="5"/>
  <c r="V484" i="5"/>
  <c r="AC484" i="5"/>
  <c r="U495" i="5"/>
  <c r="AC495" i="5"/>
  <c r="V495" i="5"/>
  <c r="V512" i="5"/>
  <c r="U512" i="5"/>
  <c r="AC512" i="5"/>
  <c r="AC502" i="5"/>
  <c r="U502" i="5"/>
  <c r="V502" i="5"/>
  <c r="V548" i="5"/>
  <c r="U548" i="5"/>
  <c r="AC548" i="5"/>
  <c r="V559" i="5"/>
  <c r="U559" i="5"/>
  <c r="AC559" i="5"/>
  <c r="S119" i="5"/>
  <c r="R119" i="5"/>
  <c r="S191" i="5"/>
  <c r="R191" i="5"/>
  <c r="S278" i="5"/>
  <c r="R278" i="5"/>
  <c r="S481" i="5"/>
  <c r="R481" i="5"/>
  <c r="U54" i="5"/>
  <c r="AC54" i="5"/>
  <c r="V54" i="5"/>
  <c r="U94" i="5"/>
  <c r="V94" i="5"/>
  <c r="AC94" i="5"/>
  <c r="V170" i="5"/>
  <c r="AC170" i="5"/>
  <c r="U170" i="5"/>
  <c r="U229" i="5"/>
  <c r="AC229" i="5"/>
  <c r="V229" i="5"/>
  <c r="U320" i="5"/>
  <c r="V320" i="5"/>
  <c r="AC320" i="5"/>
  <c r="U406" i="5"/>
  <c r="AC406" i="5"/>
  <c r="V406" i="5"/>
  <c r="AC427" i="5"/>
  <c r="V427" i="5"/>
  <c r="U427" i="5"/>
  <c r="U470" i="5"/>
  <c r="AC470" i="5"/>
  <c r="V470" i="5"/>
  <c r="V496" i="5"/>
  <c r="U496" i="5"/>
  <c r="AC496" i="5"/>
  <c r="R105" i="5"/>
  <c r="S105" i="5"/>
  <c r="S21" i="5"/>
  <c r="R21" i="5"/>
  <c r="S94" i="5"/>
  <c r="R94" i="5"/>
  <c r="S137" i="5"/>
  <c r="R137" i="5"/>
  <c r="R197" i="5"/>
  <c r="S197" i="5"/>
  <c r="S221" i="5"/>
  <c r="R221" i="5"/>
  <c r="S290" i="5"/>
  <c r="R290" i="5"/>
  <c r="S33" i="5"/>
  <c r="R33" i="5"/>
  <c r="S22" i="5"/>
  <c r="R22" i="5"/>
  <c r="S43" i="5"/>
  <c r="R43" i="5"/>
  <c r="R58" i="5"/>
  <c r="S58" i="5"/>
  <c r="S8" i="5"/>
  <c r="R8" i="5"/>
  <c r="S61" i="5"/>
  <c r="R61" i="5"/>
  <c r="S32" i="5"/>
  <c r="R32" i="5"/>
  <c r="S62" i="5"/>
  <c r="R62" i="5"/>
  <c r="S36" i="5"/>
  <c r="R36" i="5"/>
  <c r="S25" i="5"/>
  <c r="R25" i="5"/>
  <c r="R160" i="5"/>
  <c r="S160" i="5"/>
  <c r="S53" i="5"/>
  <c r="R53" i="5"/>
  <c r="S106" i="5"/>
  <c r="R106" i="5"/>
  <c r="S150" i="5"/>
  <c r="R150" i="5"/>
  <c r="R128" i="5"/>
  <c r="S128" i="5"/>
  <c r="R132" i="5"/>
  <c r="S132" i="5"/>
  <c r="S186" i="5"/>
  <c r="R186" i="5"/>
  <c r="S200" i="5"/>
  <c r="R200" i="5"/>
  <c r="S212" i="5"/>
  <c r="R212" i="5"/>
  <c r="S195" i="5"/>
  <c r="R195" i="5"/>
  <c r="S175" i="5"/>
  <c r="R175" i="5"/>
  <c r="S234" i="5"/>
  <c r="R234" i="5"/>
  <c r="S233" i="5"/>
  <c r="R233" i="5"/>
  <c r="S326" i="5"/>
  <c r="R326" i="5"/>
  <c r="R301" i="5"/>
  <c r="S301" i="5"/>
  <c r="S260" i="5"/>
  <c r="R260" i="5"/>
  <c r="R305" i="5"/>
  <c r="S305" i="5"/>
  <c r="R314" i="5"/>
  <c r="S314" i="5"/>
  <c r="R297" i="5"/>
  <c r="S297" i="5"/>
  <c r="S353" i="5"/>
  <c r="R353" i="5"/>
  <c r="R357" i="5"/>
  <c r="S357" i="5"/>
  <c r="R396" i="5"/>
  <c r="S396" i="5"/>
  <c r="S406" i="5"/>
  <c r="R406" i="5"/>
  <c r="R370" i="5"/>
  <c r="S370" i="5"/>
  <c r="S377" i="5"/>
  <c r="R377" i="5"/>
  <c r="R421" i="5"/>
  <c r="S421" i="5"/>
  <c r="R393" i="5"/>
  <c r="S393" i="5"/>
  <c r="R383" i="5"/>
  <c r="S383" i="5"/>
  <c r="S444" i="5"/>
  <c r="R444" i="5"/>
  <c r="R492" i="5"/>
  <c r="S492" i="5"/>
  <c r="S462" i="5"/>
  <c r="R462" i="5"/>
  <c r="R453" i="5"/>
  <c r="S453" i="5"/>
  <c r="S510" i="5"/>
  <c r="R510" i="5"/>
  <c r="S474" i="5"/>
  <c r="R474" i="5"/>
  <c r="S477" i="5"/>
  <c r="R477" i="5"/>
  <c r="R502" i="5"/>
  <c r="S502" i="5"/>
  <c r="S540" i="5"/>
  <c r="R540" i="5"/>
  <c r="S542" i="5"/>
  <c r="R542" i="5"/>
  <c r="U149" i="5"/>
  <c r="V149" i="5"/>
  <c r="AC149" i="5"/>
  <c r="AC21" i="5"/>
  <c r="U21" i="5"/>
  <c r="V21" i="5"/>
  <c r="V34" i="5"/>
  <c r="U34" i="5"/>
  <c r="AC34" i="5"/>
  <c r="AC120" i="5"/>
  <c r="U120" i="5"/>
  <c r="V120" i="5"/>
  <c r="V85" i="5"/>
  <c r="U85" i="5"/>
  <c r="AC85" i="5"/>
  <c r="V83" i="5"/>
  <c r="U83" i="5"/>
  <c r="AC83" i="5"/>
  <c r="V62" i="5"/>
  <c r="U62" i="5"/>
  <c r="AC62" i="5"/>
  <c r="AC132" i="5"/>
  <c r="U132" i="5"/>
  <c r="V132" i="5"/>
  <c r="V95" i="5"/>
  <c r="AC95" i="5"/>
  <c r="U95" i="5"/>
  <c r="V140" i="5"/>
  <c r="U140" i="5"/>
  <c r="AC140" i="5"/>
  <c r="V107" i="5"/>
  <c r="U107" i="5"/>
  <c r="AC107" i="5"/>
  <c r="AC118" i="5"/>
  <c r="V118" i="5"/>
  <c r="U118" i="5"/>
  <c r="V125" i="5"/>
  <c r="U125" i="5"/>
  <c r="AC125" i="5"/>
  <c r="AC184" i="5"/>
  <c r="V184" i="5"/>
  <c r="U184" i="5"/>
  <c r="V207" i="5"/>
  <c r="U207" i="5"/>
  <c r="AC207" i="5"/>
  <c r="V191" i="5"/>
  <c r="U191" i="5"/>
  <c r="AC191" i="5"/>
  <c r="U176" i="5"/>
  <c r="AC176" i="5"/>
  <c r="V176" i="5"/>
  <c r="U198" i="5"/>
  <c r="AC198" i="5"/>
  <c r="V198" i="5"/>
  <c r="V262" i="5"/>
  <c r="U262" i="5"/>
  <c r="AC262" i="5"/>
  <c r="U266" i="5"/>
  <c r="V266" i="5"/>
  <c r="AC266" i="5"/>
  <c r="U278" i="5"/>
  <c r="AC278" i="5"/>
  <c r="V278" i="5"/>
  <c r="U251" i="5"/>
  <c r="V251" i="5"/>
  <c r="AC251" i="5"/>
  <c r="AC299" i="5"/>
  <c r="V299" i="5"/>
  <c r="U299" i="5"/>
  <c r="V277" i="5"/>
  <c r="U277" i="5"/>
  <c r="AC277" i="5"/>
  <c r="U284" i="5"/>
  <c r="V284" i="5"/>
  <c r="AC284" i="5"/>
  <c r="V370" i="5"/>
  <c r="U370" i="5"/>
  <c r="AC370" i="5"/>
  <c r="U288" i="5"/>
  <c r="V288" i="5"/>
  <c r="AC288" i="5"/>
  <c r="U314" i="5"/>
  <c r="V314" i="5"/>
  <c r="AC314" i="5"/>
  <c r="V357" i="5"/>
  <c r="U357" i="5"/>
  <c r="AC357" i="5"/>
  <c r="V366" i="5"/>
  <c r="U366" i="5"/>
  <c r="AC366" i="5"/>
  <c r="U390" i="5"/>
  <c r="AC390" i="5"/>
  <c r="V390" i="5"/>
  <c r="U414" i="5"/>
  <c r="AC414" i="5"/>
  <c r="V414" i="5"/>
  <c r="V365" i="5"/>
  <c r="U365" i="5"/>
  <c r="AC365" i="5"/>
  <c r="V395" i="5"/>
  <c r="U395" i="5"/>
  <c r="AC395" i="5"/>
  <c r="U389" i="5"/>
  <c r="V389" i="5"/>
  <c r="AC389" i="5"/>
  <c r="AC468" i="5"/>
  <c r="V468" i="5"/>
  <c r="U468" i="5"/>
  <c r="U442" i="5"/>
  <c r="V442" i="5"/>
  <c r="AC442" i="5"/>
  <c r="AC420" i="5"/>
  <c r="V420" i="5"/>
  <c r="U420" i="5"/>
  <c r="V476" i="5"/>
  <c r="U476" i="5"/>
  <c r="AC476" i="5"/>
  <c r="V519" i="5"/>
  <c r="U519" i="5"/>
  <c r="AC519" i="5"/>
  <c r="U489" i="5"/>
  <c r="V489" i="5"/>
  <c r="AC489" i="5"/>
  <c r="U499" i="5"/>
  <c r="V499" i="5"/>
  <c r="AC499" i="5"/>
  <c r="V525" i="5"/>
  <c r="U525" i="5"/>
  <c r="AC525" i="5"/>
  <c r="V504" i="5"/>
  <c r="AC504" i="5"/>
  <c r="U504" i="5"/>
  <c r="V552" i="5"/>
  <c r="U552" i="5"/>
  <c r="AC552" i="5"/>
  <c r="V550" i="5"/>
  <c r="U550" i="5"/>
  <c r="AC550" i="5"/>
  <c r="R126" i="5"/>
  <c r="S126" i="5"/>
  <c r="S253" i="5"/>
  <c r="R253" i="5"/>
  <c r="R494" i="5"/>
  <c r="S494" i="5"/>
  <c r="S506" i="5"/>
  <c r="R506" i="5"/>
  <c r="V151" i="5"/>
  <c r="AC151" i="5"/>
  <c r="U151" i="5"/>
  <c r="U316" i="5"/>
  <c r="V316" i="5"/>
  <c r="AC316" i="5"/>
  <c r="R44" i="5"/>
  <c r="S44" i="5"/>
  <c r="S24" i="5"/>
  <c r="R24" i="5"/>
  <c r="S74" i="5"/>
  <c r="R74" i="5"/>
  <c r="S35" i="5"/>
  <c r="R35" i="5"/>
  <c r="S110" i="5"/>
  <c r="R110" i="5"/>
  <c r="R140" i="5"/>
  <c r="S140" i="5"/>
  <c r="S226" i="5"/>
  <c r="R226" i="5"/>
  <c r="R201" i="5"/>
  <c r="S201" i="5"/>
  <c r="S218" i="5"/>
  <c r="R218" i="5"/>
  <c r="S266" i="5"/>
  <c r="R266" i="5"/>
  <c r="R237" i="5"/>
  <c r="S237" i="5"/>
  <c r="R224" i="5"/>
  <c r="S224" i="5"/>
  <c r="R322" i="5"/>
  <c r="S322" i="5"/>
  <c r="S264" i="5"/>
  <c r="R264" i="5"/>
  <c r="R307" i="5"/>
  <c r="S307" i="5"/>
  <c r="S320" i="5"/>
  <c r="R320" i="5"/>
  <c r="R304" i="5"/>
  <c r="S304" i="5"/>
  <c r="R355" i="5"/>
  <c r="S355" i="5"/>
  <c r="R317" i="5"/>
  <c r="S317" i="5"/>
  <c r="R412" i="5"/>
  <c r="S412" i="5"/>
  <c r="R346" i="5"/>
  <c r="S346" i="5"/>
  <c r="S394" i="5"/>
  <c r="R394" i="5"/>
  <c r="S381" i="5"/>
  <c r="R381" i="5"/>
  <c r="S426" i="5"/>
  <c r="R426" i="5"/>
  <c r="R397" i="5"/>
  <c r="S397" i="5"/>
  <c r="R386" i="5"/>
  <c r="S386" i="5"/>
  <c r="S446" i="5"/>
  <c r="R446" i="5"/>
  <c r="S435" i="5"/>
  <c r="R435" i="5"/>
  <c r="S520" i="5"/>
  <c r="R520" i="5"/>
  <c r="R463" i="5"/>
  <c r="S463" i="5"/>
  <c r="S516" i="5"/>
  <c r="R516" i="5"/>
  <c r="S491" i="5"/>
  <c r="R491" i="5"/>
  <c r="S483" i="5"/>
  <c r="R483" i="5"/>
  <c r="R504" i="5"/>
  <c r="S504" i="5"/>
  <c r="S544" i="5"/>
  <c r="R544" i="5"/>
  <c r="S546" i="5"/>
  <c r="R546" i="5"/>
  <c r="AC36" i="5"/>
  <c r="U36" i="5"/>
  <c r="V36" i="5"/>
  <c r="AC25" i="5"/>
  <c r="V25" i="5"/>
  <c r="U25" i="5"/>
  <c r="V39" i="5"/>
  <c r="U39" i="5"/>
  <c r="AC39" i="5"/>
  <c r="T10" i="5"/>
  <c r="Q10" i="5"/>
  <c r="AM10" i="5"/>
  <c r="Z10" i="5"/>
  <c r="W10" i="5"/>
  <c r="AJ10" i="5"/>
  <c r="AG10" i="5"/>
  <c r="AC108" i="5"/>
  <c r="U108" i="5"/>
  <c r="V108" i="5"/>
  <c r="AC114" i="5"/>
  <c r="V114" i="5"/>
  <c r="U114" i="5"/>
  <c r="U64" i="5"/>
  <c r="V64" i="5"/>
  <c r="AC64" i="5"/>
  <c r="U145" i="5"/>
  <c r="V145" i="5"/>
  <c r="AC145" i="5"/>
  <c r="V97" i="5"/>
  <c r="U97" i="5"/>
  <c r="AC97" i="5"/>
  <c r="V60" i="5"/>
  <c r="AC60" i="5"/>
  <c r="U60" i="5"/>
  <c r="V111" i="5"/>
  <c r="AC111" i="5"/>
  <c r="U111" i="5"/>
  <c r="AC122" i="5"/>
  <c r="V122" i="5"/>
  <c r="U122" i="5"/>
  <c r="U161" i="5"/>
  <c r="AC161" i="5"/>
  <c r="V161" i="5"/>
  <c r="AC188" i="5"/>
  <c r="V188" i="5"/>
  <c r="U188" i="5"/>
  <c r="V211" i="5"/>
  <c r="U211" i="5"/>
  <c r="AC211" i="5"/>
  <c r="U194" i="5"/>
  <c r="V194" i="5"/>
  <c r="AC194" i="5"/>
  <c r="V181" i="5"/>
  <c r="U181" i="5"/>
  <c r="AC181" i="5"/>
  <c r="V201" i="5"/>
  <c r="AC201" i="5"/>
  <c r="U201" i="5"/>
  <c r="V227" i="5"/>
  <c r="U227" i="5"/>
  <c r="AC227" i="5"/>
  <c r="V269" i="5"/>
  <c r="U269" i="5"/>
  <c r="AC269" i="5"/>
  <c r="V321" i="5"/>
  <c r="AC321" i="5"/>
  <c r="U321" i="5"/>
  <c r="U312" i="5"/>
  <c r="AC312" i="5"/>
  <c r="V312" i="5"/>
  <c r="U306" i="5"/>
  <c r="AC306" i="5"/>
  <c r="V306" i="5"/>
  <c r="U282" i="5"/>
  <c r="V282" i="5"/>
  <c r="AC282" i="5"/>
  <c r="V291" i="5"/>
  <c r="U291" i="5"/>
  <c r="AC291" i="5"/>
  <c r="V276" i="5"/>
  <c r="U276" i="5"/>
  <c r="AC276" i="5"/>
  <c r="U295" i="5"/>
  <c r="AC295" i="5"/>
  <c r="V295" i="5"/>
  <c r="U318" i="5"/>
  <c r="AC318" i="5"/>
  <c r="V318" i="5"/>
  <c r="U363" i="5"/>
  <c r="V363" i="5"/>
  <c r="AC363" i="5"/>
  <c r="AC379" i="5"/>
  <c r="V379" i="5"/>
  <c r="U379" i="5"/>
  <c r="V392" i="5"/>
  <c r="U392" i="5"/>
  <c r="AC392" i="5"/>
  <c r="V416" i="5"/>
  <c r="U416" i="5"/>
  <c r="AC416" i="5"/>
  <c r="V369" i="5"/>
  <c r="U369" i="5"/>
  <c r="AC369" i="5"/>
  <c r="V399" i="5"/>
  <c r="U399" i="5"/>
  <c r="AC399" i="5"/>
  <c r="U393" i="5"/>
  <c r="V393" i="5"/>
  <c r="AC393" i="5"/>
  <c r="U486" i="5"/>
  <c r="AC486" i="5"/>
  <c r="V486" i="5"/>
  <c r="V444" i="5"/>
  <c r="U444" i="5"/>
  <c r="AC444" i="5"/>
  <c r="V424" i="5"/>
  <c r="U424" i="5"/>
  <c r="AC424" i="5"/>
  <c r="V536" i="5"/>
  <c r="U536" i="5"/>
  <c r="AC536" i="5"/>
  <c r="V513" i="5"/>
  <c r="U513" i="5"/>
  <c r="AC513" i="5"/>
  <c r="U493" i="5"/>
  <c r="V493" i="5"/>
  <c r="AC493" i="5"/>
  <c r="U503" i="5"/>
  <c r="V503" i="5"/>
  <c r="AC503" i="5"/>
  <c r="V528" i="5"/>
  <c r="U528" i="5"/>
  <c r="AC528" i="5"/>
  <c r="V515" i="5"/>
  <c r="U515" i="5"/>
  <c r="AC515" i="5"/>
  <c r="V556" i="5"/>
  <c r="U556" i="5"/>
  <c r="AC556" i="5"/>
  <c r="V554" i="5"/>
  <c r="U554" i="5"/>
  <c r="AC554" i="5"/>
  <c r="S12" i="5"/>
  <c r="R12" i="5"/>
  <c r="S124" i="5"/>
  <c r="R124" i="5"/>
  <c r="S330" i="5"/>
  <c r="R330" i="5"/>
  <c r="R488" i="5"/>
  <c r="S488" i="5"/>
  <c r="S559" i="5"/>
  <c r="R559" i="5"/>
  <c r="V28" i="5"/>
  <c r="U28" i="5"/>
  <c r="AC28" i="5"/>
  <c r="U169" i="5"/>
  <c r="AC169" i="5"/>
  <c r="V169" i="5"/>
  <c r="V349" i="5"/>
  <c r="U349" i="5"/>
  <c r="AC349" i="5"/>
  <c r="S48" i="5"/>
  <c r="R48" i="5"/>
  <c r="S73" i="5"/>
  <c r="R73" i="5"/>
  <c r="S56" i="5"/>
  <c r="R56" i="5"/>
  <c r="S60" i="5"/>
  <c r="R60" i="5"/>
  <c r="S87" i="5"/>
  <c r="R87" i="5"/>
  <c r="S199" i="5"/>
  <c r="R199" i="5"/>
  <c r="R144" i="5"/>
  <c r="S144" i="5"/>
  <c r="S190" i="5"/>
  <c r="R190" i="5"/>
  <c r="S216" i="5"/>
  <c r="R216" i="5"/>
  <c r="R63" i="5"/>
  <c r="S63" i="5"/>
  <c r="S146" i="5"/>
  <c r="R146" i="5"/>
  <c r="R34" i="5"/>
  <c r="S34" i="5"/>
  <c r="S85" i="5"/>
  <c r="R85" i="5"/>
  <c r="S37" i="5"/>
  <c r="R37" i="5"/>
  <c r="S109" i="5"/>
  <c r="R109" i="5"/>
  <c r="S64" i="5"/>
  <c r="R64" i="5"/>
  <c r="R70" i="5"/>
  <c r="S70" i="5"/>
  <c r="R88" i="5"/>
  <c r="S88" i="5"/>
  <c r="S113" i="5"/>
  <c r="R113" i="5"/>
  <c r="S114" i="5"/>
  <c r="R114" i="5"/>
  <c r="R220" i="5"/>
  <c r="S220" i="5"/>
  <c r="R152" i="5"/>
  <c r="S152" i="5"/>
  <c r="S188" i="5"/>
  <c r="R188" i="5"/>
  <c r="S203" i="5"/>
  <c r="R203" i="5"/>
  <c r="S238" i="5"/>
  <c r="R238" i="5"/>
  <c r="S235" i="5"/>
  <c r="R235" i="5"/>
  <c r="R178" i="5"/>
  <c r="S178" i="5"/>
  <c r="S219" i="5"/>
  <c r="R219" i="5"/>
  <c r="R350" i="5"/>
  <c r="S350" i="5"/>
  <c r="S251" i="5"/>
  <c r="R251" i="5"/>
  <c r="R228" i="5"/>
  <c r="S228" i="5"/>
  <c r="S328" i="5"/>
  <c r="R328" i="5"/>
  <c r="S267" i="5"/>
  <c r="R267" i="5"/>
  <c r="R309" i="5"/>
  <c r="S309" i="5"/>
  <c r="S324" i="5"/>
  <c r="R324" i="5"/>
  <c r="R308" i="5"/>
  <c r="S308" i="5"/>
  <c r="R388" i="5"/>
  <c r="S388" i="5"/>
  <c r="R321" i="5"/>
  <c r="S321" i="5"/>
  <c r="R343" i="5"/>
  <c r="S343" i="5"/>
  <c r="R367" i="5"/>
  <c r="S367" i="5"/>
  <c r="S410" i="5"/>
  <c r="R410" i="5"/>
  <c r="S434" i="5"/>
  <c r="R434" i="5"/>
  <c r="R433" i="5"/>
  <c r="S433" i="5"/>
  <c r="R401" i="5"/>
  <c r="S401" i="5"/>
  <c r="S422" i="5"/>
  <c r="R422" i="5"/>
  <c r="S448" i="5"/>
  <c r="R448" i="5"/>
  <c r="S472" i="5"/>
  <c r="R472" i="5"/>
  <c r="S423" i="5"/>
  <c r="R423" i="5"/>
  <c r="R465" i="5"/>
  <c r="S465" i="5"/>
  <c r="S493" i="5"/>
  <c r="R493" i="5"/>
  <c r="S495" i="5"/>
  <c r="R495" i="5"/>
  <c r="S523" i="5"/>
  <c r="R523" i="5"/>
  <c r="S515" i="5"/>
  <c r="R515" i="5"/>
  <c r="S548" i="5"/>
  <c r="R548" i="5"/>
  <c r="S550" i="5"/>
  <c r="R550" i="5"/>
  <c r="U72" i="5"/>
  <c r="AC72" i="5"/>
  <c r="V72" i="5"/>
  <c r="V49" i="5"/>
  <c r="U49" i="5"/>
  <c r="AC49" i="5"/>
  <c r="V63" i="5"/>
  <c r="U63" i="5"/>
  <c r="AC63" i="5"/>
  <c r="V33" i="5"/>
  <c r="U33" i="5"/>
  <c r="AC33" i="5"/>
  <c r="V155" i="5"/>
  <c r="AC155" i="5"/>
  <c r="U155" i="5"/>
  <c r="AC116" i="5"/>
  <c r="U116" i="5"/>
  <c r="V116" i="5"/>
  <c r="V69" i="5"/>
  <c r="U69" i="5"/>
  <c r="AC69" i="5"/>
  <c r="V177" i="5"/>
  <c r="U177" i="5"/>
  <c r="AC177" i="5"/>
  <c r="V99" i="5"/>
  <c r="U99" i="5"/>
  <c r="AC99" i="5"/>
  <c r="U129" i="5"/>
  <c r="V129" i="5"/>
  <c r="AC129" i="5"/>
  <c r="V115" i="5"/>
  <c r="U115" i="5"/>
  <c r="AC115" i="5"/>
  <c r="V131" i="5"/>
  <c r="AC131" i="5"/>
  <c r="U131" i="5"/>
  <c r="U130" i="5"/>
  <c r="AC130" i="5"/>
  <c r="V130" i="5"/>
  <c r="V196" i="5"/>
  <c r="AC196" i="5"/>
  <c r="U196" i="5"/>
  <c r="V215" i="5"/>
  <c r="U215" i="5"/>
  <c r="AC215" i="5"/>
  <c r="V197" i="5"/>
  <c r="U197" i="5"/>
  <c r="AC197" i="5"/>
  <c r="V183" i="5"/>
  <c r="U183" i="5"/>
  <c r="AC183" i="5"/>
  <c r="V205" i="5"/>
  <c r="AC205" i="5"/>
  <c r="U205" i="5"/>
  <c r="V231" i="5"/>
  <c r="U231" i="5"/>
  <c r="AC231" i="5"/>
  <c r="U315" i="5"/>
  <c r="AC315" i="5"/>
  <c r="V315" i="5"/>
  <c r="V237" i="5"/>
  <c r="U237" i="5"/>
  <c r="AC237" i="5"/>
  <c r="V325" i="5"/>
  <c r="AC325" i="5"/>
  <c r="U325" i="5"/>
  <c r="U310" i="5"/>
  <c r="AC310" i="5"/>
  <c r="V310" i="5"/>
  <c r="V289" i="5"/>
  <c r="U289" i="5"/>
  <c r="AC289" i="5"/>
  <c r="U296" i="5"/>
  <c r="V296" i="5"/>
  <c r="AC296" i="5"/>
  <c r="V281" i="5"/>
  <c r="U281" i="5"/>
  <c r="AC281" i="5"/>
  <c r="U300" i="5"/>
  <c r="V300" i="5"/>
  <c r="AC300" i="5"/>
  <c r="V322" i="5"/>
  <c r="U322" i="5"/>
  <c r="AC322" i="5"/>
  <c r="V449" i="5"/>
  <c r="AC449" i="5"/>
  <c r="U449" i="5"/>
  <c r="U367" i="5"/>
  <c r="V367" i="5"/>
  <c r="AC367" i="5"/>
  <c r="U394" i="5"/>
  <c r="AC394" i="5"/>
  <c r="V394" i="5"/>
  <c r="U418" i="5"/>
  <c r="AC418" i="5"/>
  <c r="V418" i="5"/>
  <c r="V373" i="5"/>
  <c r="U373" i="5"/>
  <c r="AC373" i="5"/>
  <c r="V403" i="5"/>
  <c r="U403" i="5"/>
  <c r="AC403" i="5"/>
  <c r="U397" i="5"/>
  <c r="V397" i="5"/>
  <c r="AC397" i="5"/>
  <c r="U477" i="5"/>
  <c r="AC477" i="5"/>
  <c r="V477" i="5"/>
  <c r="U446" i="5"/>
  <c r="V446" i="5"/>
  <c r="AC446" i="5"/>
  <c r="V428" i="5"/>
  <c r="U428" i="5"/>
  <c r="AC428" i="5"/>
  <c r="AC431" i="5"/>
  <c r="V431" i="5"/>
  <c r="U431" i="5"/>
  <c r="V520" i="5"/>
  <c r="AC520" i="5"/>
  <c r="U520" i="5"/>
  <c r="U497" i="5"/>
  <c r="V497" i="5"/>
  <c r="AC497" i="5"/>
  <c r="V517" i="5"/>
  <c r="U517" i="5"/>
  <c r="AC517" i="5"/>
  <c r="V540" i="5"/>
  <c r="U540" i="5"/>
  <c r="AC540" i="5"/>
  <c r="V538" i="5"/>
  <c r="U538" i="5"/>
  <c r="AC538" i="5"/>
  <c r="V560" i="5"/>
  <c r="U560" i="5"/>
  <c r="AC560" i="5"/>
  <c r="V558" i="5"/>
  <c r="U558" i="5"/>
  <c r="AC558" i="5"/>
  <c r="S153" i="5"/>
  <c r="R153" i="5"/>
  <c r="R318" i="5"/>
  <c r="S318" i="5"/>
  <c r="AC144" i="5"/>
  <c r="V144" i="5"/>
  <c r="U144" i="5"/>
  <c r="S104" i="5"/>
  <c r="R104" i="5"/>
  <c r="S157" i="5"/>
  <c r="R157" i="5"/>
  <c r="R232" i="5"/>
  <c r="S232" i="5"/>
  <c r="R311" i="5"/>
  <c r="S311" i="5"/>
  <c r="S275" i="5"/>
  <c r="R275" i="5"/>
  <c r="S312" i="5"/>
  <c r="R312" i="5"/>
  <c r="R404" i="5"/>
  <c r="S404" i="5"/>
  <c r="S325" i="5"/>
  <c r="R325" i="5"/>
  <c r="S348" i="5"/>
  <c r="R348" i="5"/>
  <c r="R400" i="5"/>
  <c r="S400" i="5"/>
  <c r="R420" i="5"/>
  <c r="S420" i="5"/>
  <c r="S387" i="5"/>
  <c r="R387" i="5"/>
  <c r="R445" i="5"/>
  <c r="S445" i="5"/>
  <c r="R405" i="5"/>
  <c r="S405" i="5"/>
  <c r="S436" i="5"/>
  <c r="R436" i="5"/>
  <c r="S450" i="5"/>
  <c r="R450" i="5"/>
  <c r="S475" i="5"/>
  <c r="R475" i="5"/>
  <c r="S427" i="5"/>
  <c r="R427" i="5"/>
  <c r="R473" i="5"/>
  <c r="S473" i="5"/>
  <c r="S497" i="5"/>
  <c r="R497" i="5"/>
  <c r="S499" i="5"/>
  <c r="R499" i="5"/>
  <c r="S509" i="5"/>
  <c r="R509" i="5"/>
  <c r="S526" i="5"/>
  <c r="R526" i="5"/>
  <c r="S552" i="5"/>
  <c r="R552" i="5"/>
  <c r="S554" i="5"/>
  <c r="R554" i="5"/>
  <c r="V70" i="5"/>
  <c r="AC70" i="5"/>
  <c r="U70" i="5"/>
  <c r="V82" i="5"/>
  <c r="AC82" i="5"/>
  <c r="U82" i="5"/>
  <c r="V75" i="5"/>
  <c r="U75" i="5"/>
  <c r="AC75" i="5"/>
  <c r="V48" i="5"/>
  <c r="U48" i="5"/>
  <c r="AC48" i="5"/>
  <c r="V12" i="5"/>
  <c r="U12" i="5"/>
  <c r="V22" i="5"/>
  <c r="U22" i="5"/>
  <c r="AC22" i="5"/>
  <c r="V74" i="5"/>
  <c r="U74" i="5"/>
  <c r="AC74" i="5"/>
  <c r="AC178" i="5"/>
  <c r="U178" i="5"/>
  <c r="V178" i="5"/>
  <c r="V182" i="5"/>
  <c r="U182" i="5"/>
  <c r="AC182" i="5"/>
  <c r="AC134" i="5"/>
  <c r="U134" i="5"/>
  <c r="V134" i="5"/>
  <c r="V119" i="5"/>
  <c r="U119" i="5"/>
  <c r="AC119" i="5"/>
  <c r="AC138" i="5"/>
  <c r="U138" i="5"/>
  <c r="V138" i="5"/>
  <c r="V135" i="5"/>
  <c r="U135" i="5"/>
  <c r="AC135" i="5"/>
  <c r="V202" i="5"/>
  <c r="U202" i="5"/>
  <c r="AC202" i="5"/>
  <c r="U221" i="5"/>
  <c r="AC221" i="5"/>
  <c r="V221" i="5"/>
  <c r="V204" i="5"/>
  <c r="U204" i="5"/>
  <c r="AC204" i="5"/>
  <c r="V185" i="5"/>
  <c r="U185" i="5"/>
  <c r="AC185" i="5"/>
  <c r="V209" i="5"/>
  <c r="AC209" i="5"/>
  <c r="U209" i="5"/>
  <c r="V235" i="5"/>
  <c r="U235" i="5"/>
  <c r="AC235" i="5"/>
  <c r="V218" i="5"/>
  <c r="U218" i="5"/>
  <c r="AC218" i="5"/>
  <c r="V240" i="5"/>
  <c r="U240" i="5"/>
  <c r="AC240" i="5"/>
  <c r="V258" i="5"/>
  <c r="U258" i="5"/>
  <c r="AC258" i="5"/>
  <c r="V271" i="5"/>
  <c r="U271" i="5"/>
  <c r="AC271" i="5"/>
  <c r="U294" i="5"/>
  <c r="V294" i="5"/>
  <c r="AC294" i="5"/>
  <c r="V303" i="5"/>
  <c r="U303" i="5"/>
  <c r="AC303" i="5"/>
  <c r="U286" i="5"/>
  <c r="V286" i="5"/>
  <c r="AC286" i="5"/>
  <c r="V333" i="5"/>
  <c r="AC333" i="5"/>
  <c r="U333" i="5"/>
  <c r="V326" i="5"/>
  <c r="U326" i="5"/>
  <c r="AC326" i="5"/>
  <c r="V341" i="5"/>
  <c r="U341" i="5"/>
  <c r="AC341" i="5"/>
  <c r="U328" i="5"/>
  <c r="AC328" i="5"/>
  <c r="V328" i="5"/>
  <c r="V396" i="5"/>
  <c r="U396" i="5"/>
  <c r="AC396" i="5"/>
  <c r="V374" i="5"/>
  <c r="U374" i="5"/>
  <c r="AC374" i="5"/>
  <c r="V377" i="5"/>
  <c r="U377" i="5"/>
  <c r="AC377" i="5"/>
  <c r="V407" i="5"/>
  <c r="U407" i="5"/>
  <c r="AC407" i="5"/>
  <c r="U401" i="5"/>
  <c r="V401" i="5"/>
  <c r="AC401" i="5"/>
  <c r="U474" i="5"/>
  <c r="AC474" i="5"/>
  <c r="V474" i="5"/>
  <c r="V448" i="5"/>
  <c r="U448" i="5"/>
  <c r="AC448" i="5"/>
  <c r="AC432" i="5"/>
  <c r="V432" i="5"/>
  <c r="U432" i="5"/>
  <c r="V437" i="5"/>
  <c r="AC437" i="5"/>
  <c r="U437" i="5"/>
  <c r="U487" i="5"/>
  <c r="AC487" i="5"/>
  <c r="V487" i="5"/>
  <c r="U501" i="5"/>
  <c r="V501" i="5"/>
  <c r="AC501" i="5"/>
  <c r="V522" i="5"/>
  <c r="U522" i="5"/>
  <c r="AC522" i="5"/>
  <c r="V509" i="5"/>
  <c r="U509" i="5"/>
  <c r="AC509" i="5"/>
  <c r="V529" i="5"/>
  <c r="U529" i="5"/>
  <c r="AC529" i="5"/>
  <c r="V527" i="5"/>
  <c r="U527" i="5"/>
  <c r="AC527" i="5"/>
  <c r="S90" i="5"/>
  <c r="R90" i="5"/>
  <c r="S265" i="5"/>
  <c r="R265" i="5"/>
  <c r="R339" i="5"/>
  <c r="S339" i="5"/>
  <c r="S511" i="5"/>
  <c r="R511" i="5"/>
  <c r="U190" i="5"/>
  <c r="AC190" i="5"/>
  <c r="V190" i="5"/>
  <c r="R39" i="5"/>
  <c r="S39" i="5"/>
  <c r="S76" i="5"/>
  <c r="R76" i="5"/>
  <c r="R193" i="5"/>
  <c r="S193" i="5"/>
  <c r="R250" i="5"/>
  <c r="S250" i="5"/>
  <c r="R236" i="5"/>
  <c r="S236" i="5"/>
  <c r="R361" i="5"/>
  <c r="S361" i="5"/>
  <c r="S334" i="5"/>
  <c r="R334" i="5"/>
  <c r="S471" i="5"/>
  <c r="R471" i="5"/>
  <c r="S329" i="5"/>
  <c r="R329" i="5"/>
  <c r="R358" i="5"/>
  <c r="S358" i="5"/>
  <c r="R416" i="5"/>
  <c r="S416" i="5"/>
  <c r="R441" i="5"/>
  <c r="S441" i="5"/>
  <c r="S391" i="5"/>
  <c r="R391" i="5"/>
  <c r="S360" i="5"/>
  <c r="R360" i="5"/>
  <c r="R409" i="5"/>
  <c r="S409" i="5"/>
  <c r="S507" i="5"/>
  <c r="R507" i="5"/>
  <c r="S452" i="5"/>
  <c r="R452" i="5"/>
  <c r="S478" i="5"/>
  <c r="R478" i="5"/>
  <c r="R431" i="5"/>
  <c r="S431" i="5"/>
  <c r="R480" i="5"/>
  <c r="S480" i="5"/>
  <c r="S501" i="5"/>
  <c r="R501" i="5"/>
  <c r="S503" i="5"/>
  <c r="R503" i="5"/>
  <c r="S518" i="5"/>
  <c r="R518" i="5"/>
  <c r="S527" i="5"/>
  <c r="R527" i="5"/>
  <c r="S556" i="5"/>
  <c r="R556" i="5"/>
  <c r="S558" i="5"/>
  <c r="R558" i="5"/>
  <c r="V44" i="5"/>
  <c r="U44" i="5"/>
  <c r="AC44" i="5"/>
  <c r="AC26" i="5"/>
  <c r="U26" i="5"/>
  <c r="V26" i="5"/>
  <c r="V105" i="5"/>
  <c r="U105" i="5"/>
  <c r="AC105" i="5"/>
  <c r="U55" i="5"/>
  <c r="V55" i="5"/>
  <c r="AC55" i="5"/>
  <c r="V23" i="5"/>
  <c r="U23" i="5"/>
  <c r="AC23" i="5"/>
  <c r="V32" i="5"/>
  <c r="U32" i="5"/>
  <c r="AC32" i="5"/>
  <c r="U76" i="5"/>
  <c r="V76" i="5"/>
  <c r="AC76" i="5"/>
  <c r="U89" i="5"/>
  <c r="V89" i="5"/>
  <c r="AC89" i="5"/>
  <c r="V104" i="5"/>
  <c r="U104" i="5"/>
  <c r="AC104" i="5"/>
  <c r="AC59" i="5"/>
  <c r="V59" i="5"/>
  <c r="U59" i="5"/>
  <c r="V123" i="5"/>
  <c r="U123" i="5"/>
  <c r="AC123" i="5"/>
  <c r="V143" i="5"/>
  <c r="U143" i="5"/>
  <c r="AC143" i="5"/>
  <c r="U142" i="5"/>
  <c r="V142" i="5"/>
  <c r="AC142" i="5"/>
  <c r="V206" i="5"/>
  <c r="U206" i="5"/>
  <c r="AC206" i="5"/>
  <c r="V154" i="5"/>
  <c r="U154" i="5"/>
  <c r="AC154" i="5"/>
  <c r="V208" i="5"/>
  <c r="U208" i="5"/>
  <c r="AC208" i="5"/>
  <c r="V187" i="5"/>
  <c r="U187" i="5"/>
  <c r="AC187" i="5"/>
  <c r="V213" i="5"/>
  <c r="AC213" i="5"/>
  <c r="U213" i="5"/>
  <c r="V241" i="5"/>
  <c r="U241" i="5"/>
  <c r="AC241" i="5"/>
  <c r="V222" i="5"/>
  <c r="U222" i="5"/>
  <c r="AC222" i="5"/>
  <c r="V244" i="5"/>
  <c r="U244" i="5"/>
  <c r="AC244" i="5"/>
  <c r="AC264" i="5"/>
  <c r="U264" i="5"/>
  <c r="V264" i="5"/>
  <c r="AC327" i="5"/>
  <c r="V327" i="5"/>
  <c r="U327" i="5"/>
  <c r="V301" i="5"/>
  <c r="U301" i="5"/>
  <c r="AC301" i="5"/>
  <c r="U323" i="5"/>
  <c r="V323" i="5"/>
  <c r="AC323" i="5"/>
  <c r="V293" i="5"/>
  <c r="U293" i="5"/>
  <c r="AC293" i="5"/>
  <c r="AC275" i="5"/>
  <c r="U275" i="5"/>
  <c r="V275" i="5"/>
  <c r="V330" i="5"/>
  <c r="U330" i="5"/>
  <c r="AC330" i="5"/>
  <c r="V345" i="5"/>
  <c r="U345" i="5"/>
  <c r="AC345" i="5"/>
  <c r="U332" i="5"/>
  <c r="V332" i="5"/>
  <c r="AC332" i="5"/>
  <c r="U398" i="5"/>
  <c r="AC398" i="5"/>
  <c r="V398" i="5"/>
  <c r="V378" i="5"/>
  <c r="U378" i="5"/>
  <c r="AC378" i="5"/>
  <c r="V381" i="5"/>
  <c r="U381" i="5"/>
  <c r="AC381" i="5"/>
  <c r="V411" i="5"/>
  <c r="U411" i="5"/>
  <c r="AC411" i="5"/>
  <c r="U405" i="5"/>
  <c r="V405" i="5"/>
  <c r="AC405" i="5"/>
  <c r="V488" i="5"/>
  <c r="U488" i="5"/>
  <c r="AC488" i="5"/>
  <c r="U450" i="5"/>
  <c r="V450" i="5"/>
  <c r="AC450" i="5"/>
  <c r="V457" i="5"/>
  <c r="U457" i="5"/>
  <c r="AC457" i="5"/>
  <c r="V439" i="5"/>
  <c r="AC439" i="5"/>
  <c r="U439" i="5"/>
  <c r="V507" i="5"/>
  <c r="U507" i="5"/>
  <c r="AC507" i="5"/>
  <c r="U505" i="5"/>
  <c r="V505" i="5"/>
  <c r="AC505" i="5"/>
  <c r="V511" i="5"/>
  <c r="U511" i="5"/>
  <c r="AC511" i="5"/>
  <c r="V526" i="5"/>
  <c r="U526" i="5"/>
  <c r="AC526" i="5"/>
  <c r="V533" i="5"/>
  <c r="U533" i="5"/>
  <c r="AC533" i="5"/>
  <c r="V531" i="5"/>
  <c r="U531" i="5"/>
  <c r="AC531" i="5"/>
  <c r="R30" i="5"/>
  <c r="S30" i="5"/>
  <c r="S162" i="5"/>
  <c r="R162" i="5"/>
  <c r="R319" i="5"/>
  <c r="S319" i="5"/>
  <c r="S376" i="5"/>
  <c r="R376" i="5"/>
  <c r="AC35" i="5"/>
  <c r="V35" i="5"/>
  <c r="U35" i="5"/>
  <c r="U164" i="5"/>
  <c r="V164" i="5"/>
  <c r="AC164" i="5"/>
  <c r="S92" i="5"/>
  <c r="R92" i="5"/>
  <c r="R82" i="5"/>
  <c r="S82" i="5"/>
  <c r="R133" i="5"/>
  <c r="S133" i="5"/>
  <c r="S181" i="5"/>
  <c r="R181" i="5"/>
  <c r="R306" i="5"/>
  <c r="S306" i="5"/>
  <c r="R148" i="5"/>
  <c r="S148" i="5"/>
  <c r="R97" i="5"/>
  <c r="S97" i="5"/>
  <c r="S100" i="5"/>
  <c r="R100" i="5"/>
  <c r="S52" i="5"/>
  <c r="R52" i="5"/>
  <c r="S194" i="5"/>
  <c r="R194" i="5"/>
  <c r="S161" i="5"/>
  <c r="R161" i="5"/>
  <c r="S257" i="5"/>
  <c r="R257" i="5"/>
  <c r="R291" i="5"/>
  <c r="S291" i="5"/>
  <c r="S84" i="5"/>
  <c r="R84" i="5"/>
  <c r="S86" i="5"/>
  <c r="R86" i="5"/>
  <c r="S69" i="5"/>
  <c r="R69" i="5"/>
  <c r="S115" i="5"/>
  <c r="R115" i="5"/>
  <c r="S65" i="5"/>
  <c r="R65" i="5"/>
  <c r="S134" i="5"/>
  <c r="R134" i="5"/>
  <c r="S130" i="5"/>
  <c r="R130" i="5"/>
  <c r="S131" i="5"/>
  <c r="R131" i="5"/>
  <c r="R156" i="5"/>
  <c r="S156" i="5"/>
  <c r="S112" i="5"/>
  <c r="R112" i="5"/>
  <c r="S139" i="5"/>
  <c r="R139" i="5"/>
  <c r="S215" i="5"/>
  <c r="R215" i="5"/>
  <c r="S165" i="5"/>
  <c r="R165" i="5"/>
  <c r="S185" i="5"/>
  <c r="R185" i="5"/>
  <c r="S209" i="5"/>
  <c r="R209" i="5"/>
  <c r="S245" i="5"/>
  <c r="R245" i="5"/>
  <c r="R269" i="5"/>
  <c r="S269" i="5"/>
  <c r="R242" i="5"/>
  <c r="S242" i="5"/>
  <c r="R243" i="5"/>
  <c r="S243" i="5"/>
  <c r="S296" i="5"/>
  <c r="R296" i="5"/>
  <c r="R303" i="5"/>
  <c r="S303" i="5"/>
  <c r="R273" i="5"/>
  <c r="S273" i="5"/>
  <c r="R295" i="5"/>
  <c r="S295" i="5"/>
  <c r="S280" i="5"/>
  <c r="R280" i="5"/>
  <c r="S356" i="5"/>
  <c r="R356" i="5"/>
  <c r="S333" i="5"/>
  <c r="R333" i="5"/>
  <c r="S365" i="5"/>
  <c r="R365" i="5"/>
  <c r="S378" i="5"/>
  <c r="R378" i="5"/>
  <c r="R449" i="5"/>
  <c r="S449" i="5"/>
  <c r="S395" i="5"/>
  <c r="R395" i="5"/>
  <c r="S364" i="5"/>
  <c r="R364" i="5"/>
  <c r="R413" i="5"/>
  <c r="S413" i="5"/>
  <c r="S438" i="5"/>
  <c r="R438" i="5"/>
  <c r="S454" i="5"/>
  <c r="R454" i="5"/>
  <c r="R432" i="5"/>
  <c r="S432" i="5"/>
  <c r="R439" i="5"/>
  <c r="S439" i="5"/>
  <c r="R485" i="5"/>
  <c r="S485" i="5"/>
  <c r="S505" i="5"/>
  <c r="R505" i="5"/>
  <c r="S508" i="5"/>
  <c r="R508" i="5"/>
  <c r="S524" i="5"/>
  <c r="R524" i="5"/>
  <c r="S539" i="5"/>
  <c r="R539" i="5"/>
  <c r="S560" i="5"/>
  <c r="R560" i="5"/>
  <c r="S549" i="5"/>
  <c r="R549" i="5"/>
  <c r="V77" i="5"/>
  <c r="U77" i="5"/>
  <c r="AC77" i="5"/>
  <c r="V65" i="5"/>
  <c r="U65" i="5"/>
  <c r="AC65" i="5"/>
  <c r="V136" i="5"/>
  <c r="U136" i="5"/>
  <c r="AC136" i="5"/>
  <c r="V57" i="5"/>
  <c r="U57" i="5"/>
  <c r="AC57" i="5"/>
  <c r="V38" i="5"/>
  <c r="U38" i="5"/>
  <c r="AC38" i="5"/>
  <c r="V37" i="5"/>
  <c r="U37" i="5"/>
  <c r="AC37" i="5"/>
  <c r="V81" i="5"/>
  <c r="U81" i="5"/>
  <c r="AC81" i="5"/>
  <c r="AC106" i="5"/>
  <c r="V106" i="5"/>
  <c r="U106" i="5"/>
  <c r="AC112" i="5"/>
  <c r="V112" i="5"/>
  <c r="U112" i="5"/>
  <c r="AC92" i="5"/>
  <c r="V92" i="5"/>
  <c r="U92" i="5"/>
  <c r="V160" i="5"/>
  <c r="U160" i="5"/>
  <c r="AC160" i="5"/>
  <c r="AC150" i="5"/>
  <c r="V150" i="5"/>
  <c r="U150" i="5"/>
  <c r="V147" i="5"/>
  <c r="U147" i="5"/>
  <c r="AC147" i="5"/>
  <c r="V210" i="5"/>
  <c r="U210" i="5"/>
  <c r="AC210" i="5"/>
  <c r="V158" i="5"/>
  <c r="U158" i="5"/>
  <c r="AC158" i="5"/>
  <c r="V212" i="5"/>
  <c r="U212" i="5"/>
  <c r="AC212" i="5"/>
  <c r="V189" i="5"/>
  <c r="U189" i="5"/>
  <c r="AC189" i="5"/>
  <c r="AC217" i="5"/>
  <c r="V217" i="5"/>
  <c r="U217" i="5"/>
  <c r="V245" i="5"/>
  <c r="U245" i="5"/>
  <c r="AC245" i="5"/>
  <c r="V226" i="5"/>
  <c r="U226" i="5"/>
  <c r="AC226" i="5"/>
  <c r="U270" i="5"/>
  <c r="AC270" i="5"/>
  <c r="V270" i="5"/>
  <c r="AC267" i="5"/>
  <c r="U267" i="5"/>
  <c r="V267" i="5"/>
  <c r="AC249" i="5"/>
  <c r="V249" i="5"/>
  <c r="U249" i="5"/>
  <c r="AC342" i="5"/>
  <c r="V342" i="5"/>
  <c r="U342" i="5"/>
  <c r="V329" i="5"/>
  <c r="AC329" i="5"/>
  <c r="U329" i="5"/>
  <c r="U298" i="5"/>
  <c r="V298" i="5"/>
  <c r="AC298" i="5"/>
  <c r="AC335" i="5"/>
  <c r="V335" i="5"/>
  <c r="U335" i="5"/>
  <c r="V334" i="5"/>
  <c r="U334" i="5"/>
  <c r="AC334" i="5"/>
  <c r="V354" i="5"/>
  <c r="U354" i="5"/>
  <c r="AC354" i="5"/>
  <c r="AC336" i="5"/>
  <c r="U336" i="5"/>
  <c r="V336" i="5"/>
  <c r="V400" i="5"/>
  <c r="U400" i="5"/>
  <c r="AC400" i="5"/>
  <c r="V382" i="5"/>
  <c r="U382" i="5"/>
  <c r="AC382" i="5"/>
  <c r="U434" i="5"/>
  <c r="AC434" i="5"/>
  <c r="V434" i="5"/>
  <c r="V415" i="5"/>
  <c r="U415" i="5"/>
  <c r="AC415" i="5"/>
  <c r="U409" i="5"/>
  <c r="V409" i="5"/>
  <c r="AC409" i="5"/>
  <c r="V433" i="5"/>
  <c r="U433" i="5"/>
  <c r="AC433" i="5"/>
  <c r="V452" i="5"/>
  <c r="U452" i="5"/>
  <c r="AC452" i="5"/>
  <c r="U462" i="5"/>
  <c r="V462" i="5"/>
  <c r="AC462" i="5"/>
  <c r="V443" i="5"/>
  <c r="AC443" i="5"/>
  <c r="U443" i="5"/>
  <c r="V534" i="5"/>
  <c r="U534" i="5"/>
  <c r="AC534" i="5"/>
  <c r="V508" i="5"/>
  <c r="U508" i="5"/>
  <c r="AC508" i="5"/>
  <c r="V523" i="5"/>
  <c r="U523" i="5"/>
  <c r="AC523" i="5"/>
  <c r="AC490" i="5"/>
  <c r="U490" i="5"/>
  <c r="V490" i="5"/>
  <c r="V537" i="5"/>
  <c r="U537" i="5"/>
  <c r="AC537" i="5"/>
  <c r="V535" i="5"/>
  <c r="U535" i="5"/>
  <c r="AC535" i="5"/>
  <c r="S163" i="5"/>
  <c r="R163" i="5"/>
  <c r="S244" i="5"/>
  <c r="R244" i="5"/>
  <c r="R363" i="5"/>
  <c r="S363" i="5"/>
  <c r="S467" i="5"/>
  <c r="R467" i="5"/>
  <c r="V193" i="5"/>
  <c r="AC193" i="5"/>
  <c r="U193" i="5"/>
  <c r="S78" i="5"/>
  <c r="R78" i="5"/>
  <c r="R71" i="5"/>
  <c r="S71" i="5"/>
  <c r="S142" i="5"/>
  <c r="R142" i="5"/>
  <c r="S210" i="5"/>
  <c r="R210" i="5"/>
  <c r="S198" i="5"/>
  <c r="R198" i="5"/>
  <c r="R279" i="5"/>
  <c r="S279" i="5"/>
  <c r="S72" i="5"/>
  <c r="R72" i="5"/>
  <c r="S41" i="5"/>
  <c r="R41" i="5"/>
  <c r="S129" i="5"/>
  <c r="R129" i="5"/>
  <c r="R145" i="5"/>
  <c r="S145" i="5"/>
  <c r="S211" i="5"/>
  <c r="R211" i="5"/>
  <c r="S205" i="5"/>
  <c r="R205" i="5"/>
  <c r="R327" i="5"/>
  <c r="S327" i="5"/>
  <c r="R283" i="5"/>
  <c r="S283" i="5"/>
  <c r="R136" i="5"/>
  <c r="S136" i="5"/>
  <c r="S29" i="5"/>
  <c r="R29" i="5"/>
  <c r="S42" i="5"/>
  <c r="R42" i="5"/>
  <c r="S81" i="5"/>
  <c r="R81" i="5"/>
  <c r="R40" i="5"/>
  <c r="S40" i="5"/>
  <c r="S77" i="5"/>
  <c r="R77" i="5"/>
  <c r="S141" i="5"/>
  <c r="R141" i="5"/>
  <c r="S135" i="5"/>
  <c r="R135" i="5"/>
  <c r="S143" i="5"/>
  <c r="R143" i="5"/>
  <c r="S166" i="5"/>
  <c r="R166" i="5"/>
  <c r="S116" i="5"/>
  <c r="R116" i="5"/>
  <c r="S151" i="5"/>
  <c r="R151" i="5"/>
  <c r="S227" i="5"/>
  <c r="R227" i="5"/>
  <c r="S169" i="5"/>
  <c r="R169" i="5"/>
  <c r="S187" i="5"/>
  <c r="R187" i="5"/>
  <c r="S213" i="5"/>
  <c r="R213" i="5"/>
  <c r="S255" i="5"/>
  <c r="R255" i="5"/>
  <c r="R299" i="5"/>
  <c r="S299" i="5"/>
  <c r="R246" i="5"/>
  <c r="S246" i="5"/>
  <c r="R247" i="5"/>
  <c r="S247" i="5"/>
  <c r="R313" i="5"/>
  <c r="S313" i="5"/>
  <c r="R323" i="5"/>
  <c r="S323" i="5"/>
  <c r="R281" i="5"/>
  <c r="S281" i="5"/>
  <c r="S338" i="5"/>
  <c r="R338" i="5"/>
  <c r="S292" i="5"/>
  <c r="R292" i="5"/>
  <c r="R362" i="5"/>
  <c r="S362" i="5"/>
  <c r="S337" i="5"/>
  <c r="R337" i="5"/>
  <c r="R366" i="5"/>
  <c r="S366" i="5"/>
  <c r="R331" i="5"/>
  <c r="S331" i="5"/>
  <c r="R425" i="5"/>
  <c r="S425" i="5"/>
  <c r="S399" i="5"/>
  <c r="R399" i="5"/>
  <c r="S368" i="5"/>
  <c r="R368" i="5"/>
  <c r="R417" i="5"/>
  <c r="S417" i="5"/>
  <c r="S459" i="5"/>
  <c r="R459" i="5"/>
  <c r="S464" i="5"/>
  <c r="R464" i="5"/>
  <c r="S455" i="5"/>
  <c r="R455" i="5"/>
  <c r="R443" i="5"/>
  <c r="S443" i="5"/>
  <c r="S430" i="5"/>
  <c r="R430" i="5"/>
  <c r="R484" i="5"/>
  <c r="S484" i="5"/>
  <c r="S514" i="5"/>
  <c r="R514" i="5"/>
  <c r="S529" i="5"/>
  <c r="R529" i="5"/>
  <c r="S519" i="5"/>
  <c r="R519" i="5"/>
  <c r="S551" i="5"/>
  <c r="R551" i="5"/>
  <c r="S553" i="5"/>
  <c r="R553" i="5"/>
  <c r="U137" i="5"/>
  <c r="V137" i="5"/>
  <c r="AC137" i="5"/>
  <c r="V9" i="5"/>
  <c r="U9" i="5"/>
  <c r="AC9" i="5"/>
  <c r="V156" i="5"/>
  <c r="AC156" i="5"/>
  <c r="U156" i="5"/>
  <c r="V61" i="5"/>
  <c r="U61" i="5"/>
  <c r="AC61" i="5"/>
  <c r="U98" i="5"/>
  <c r="AC98" i="5"/>
  <c r="V98" i="5"/>
  <c r="V50" i="5"/>
  <c r="U50" i="5"/>
  <c r="AC50" i="5"/>
  <c r="AC41" i="5"/>
  <c r="V41" i="5"/>
  <c r="U41" i="5"/>
  <c r="AC146" i="5"/>
  <c r="V146" i="5"/>
  <c r="U146" i="5"/>
  <c r="V127" i="5"/>
  <c r="AC127" i="5"/>
  <c r="U127" i="5"/>
  <c r="AC96" i="5"/>
  <c r="V96" i="5"/>
  <c r="U96" i="5"/>
  <c r="V200" i="5"/>
  <c r="U200" i="5"/>
  <c r="AC200" i="5"/>
  <c r="V163" i="5"/>
  <c r="U163" i="5"/>
  <c r="AC163" i="5"/>
  <c r="V159" i="5"/>
  <c r="U159" i="5"/>
  <c r="AC159" i="5"/>
  <c r="V214" i="5"/>
  <c r="U214" i="5"/>
  <c r="AC214" i="5"/>
  <c r="V162" i="5"/>
  <c r="U162" i="5"/>
  <c r="AC162" i="5"/>
  <c r="V216" i="5"/>
  <c r="U216" i="5"/>
  <c r="AC216" i="5"/>
  <c r="V192" i="5"/>
  <c r="U192" i="5"/>
  <c r="AC192" i="5"/>
  <c r="AC232" i="5"/>
  <c r="V232" i="5"/>
  <c r="U232" i="5"/>
  <c r="AC252" i="5"/>
  <c r="V252" i="5"/>
  <c r="U252" i="5"/>
  <c r="V230" i="5"/>
  <c r="U230" i="5"/>
  <c r="AC230" i="5"/>
  <c r="U344" i="5"/>
  <c r="AC344" i="5"/>
  <c r="V344" i="5"/>
  <c r="AC272" i="5"/>
  <c r="V272" i="5"/>
  <c r="U272" i="5"/>
  <c r="V253" i="5"/>
  <c r="U253" i="5"/>
  <c r="AC253" i="5"/>
  <c r="U355" i="5"/>
  <c r="AC355" i="5"/>
  <c r="V355" i="5"/>
  <c r="V305" i="5"/>
  <c r="U305" i="5"/>
  <c r="AC305" i="5"/>
  <c r="AC339" i="5"/>
  <c r="V339" i="5"/>
  <c r="U339" i="5"/>
  <c r="U352" i="5"/>
  <c r="V352" i="5"/>
  <c r="AC352" i="5"/>
  <c r="V338" i="5"/>
  <c r="U338" i="5"/>
  <c r="AC338" i="5"/>
  <c r="V337" i="5"/>
  <c r="U337" i="5"/>
  <c r="AC337" i="5"/>
  <c r="AC340" i="5"/>
  <c r="U340" i="5"/>
  <c r="V340" i="5"/>
  <c r="U402" i="5"/>
  <c r="AC402" i="5"/>
  <c r="V402" i="5"/>
  <c r="U425" i="5"/>
  <c r="V425" i="5"/>
  <c r="AC425" i="5"/>
  <c r="V445" i="5"/>
  <c r="AC445" i="5"/>
  <c r="U445" i="5"/>
  <c r="AC419" i="5"/>
  <c r="V419" i="5"/>
  <c r="U419" i="5"/>
  <c r="U413" i="5"/>
  <c r="V413" i="5"/>
  <c r="AC413" i="5"/>
  <c r="V436" i="5"/>
  <c r="U436" i="5"/>
  <c r="AC436" i="5"/>
  <c r="V459" i="5"/>
  <c r="U459" i="5"/>
  <c r="AC459" i="5"/>
  <c r="V469" i="5"/>
  <c r="U469" i="5"/>
  <c r="AC469" i="5"/>
  <c r="V447" i="5"/>
  <c r="AC447" i="5"/>
  <c r="U447" i="5"/>
  <c r="V546" i="5"/>
  <c r="U546" i="5"/>
  <c r="AC546" i="5"/>
  <c r="V514" i="5"/>
  <c r="U514" i="5"/>
  <c r="AC514" i="5"/>
  <c r="V530" i="5"/>
  <c r="U530" i="5"/>
  <c r="AC530" i="5"/>
  <c r="V492" i="5"/>
  <c r="U492" i="5"/>
  <c r="AC492" i="5"/>
  <c r="V541" i="5"/>
  <c r="U541" i="5"/>
  <c r="AC541" i="5"/>
  <c r="V539" i="5"/>
  <c r="U539" i="5"/>
  <c r="AC539" i="5"/>
  <c r="AR27" i="4"/>
  <c r="AT27" i="4" s="1"/>
  <c r="AR75" i="4"/>
  <c r="AT75" i="4" s="1"/>
  <c r="AR9" i="4"/>
  <c r="AT9" i="4" s="1"/>
  <c r="AR81" i="4"/>
  <c r="AT81" i="4" s="1"/>
  <c r="AR143" i="4"/>
  <c r="AT143" i="4" s="1"/>
  <c r="AR65" i="4"/>
  <c r="AT65" i="4" s="1"/>
  <c r="AR33" i="4"/>
  <c r="AT33" i="4" s="1"/>
  <c r="AR51" i="4"/>
  <c r="AT51" i="4" s="1"/>
  <c r="AR57" i="4"/>
  <c r="AT57" i="4" s="1"/>
  <c r="AR132" i="4"/>
  <c r="AT132" i="4" s="1"/>
  <c r="AR56" i="4"/>
  <c r="AT56" i="4" s="1"/>
  <c r="AR152" i="4"/>
  <c r="AT152" i="4" s="1"/>
  <c r="AR129" i="4"/>
  <c r="AT129" i="4" s="1"/>
  <c r="AR38" i="4"/>
  <c r="AT38" i="4" s="1"/>
  <c r="AR110" i="4"/>
  <c r="AT110" i="4" s="1"/>
  <c r="AR29" i="4"/>
  <c r="AT29" i="4" s="1"/>
  <c r="AR124" i="4"/>
  <c r="AT124" i="4" s="1"/>
  <c r="AR54" i="4"/>
  <c r="AT54" i="4" s="1"/>
  <c r="AR154" i="4"/>
  <c r="AT154" i="4" s="1"/>
  <c r="AR140" i="4"/>
  <c r="AT140" i="4" s="1"/>
  <c r="AR23" i="4"/>
  <c r="AT23" i="4" s="1"/>
  <c r="AR30" i="4"/>
  <c r="AT30" i="4" s="1"/>
  <c r="AR72" i="4"/>
  <c r="AT72" i="4" s="1"/>
  <c r="AR147" i="4"/>
  <c r="AT147" i="4" s="1"/>
  <c r="AR151" i="4"/>
  <c r="AT151" i="4" s="1"/>
  <c r="AR34" i="4"/>
  <c r="AT34" i="4" s="1"/>
  <c r="AR153" i="4"/>
  <c r="AT153" i="4" s="1"/>
  <c r="AR79" i="4"/>
  <c r="AT79" i="4" s="1"/>
  <c r="AR136" i="4"/>
  <c r="AT136" i="4" s="1"/>
  <c r="AR122" i="4"/>
  <c r="AT122" i="4" s="1"/>
  <c r="AR43" i="4"/>
  <c r="AT43" i="4" s="1"/>
  <c r="AR35" i="4"/>
  <c r="AT35" i="4" s="1"/>
  <c r="AR90" i="4"/>
  <c r="AT90" i="4" s="1"/>
  <c r="AR64" i="4"/>
  <c r="AT64" i="4" s="1"/>
  <c r="AR58" i="4"/>
  <c r="AT58" i="4" s="1"/>
  <c r="AR83" i="4"/>
  <c r="AT83" i="4" s="1"/>
  <c r="AR127" i="4"/>
  <c r="AT127" i="4" s="1"/>
  <c r="AR82" i="4"/>
  <c r="AT82" i="4" s="1"/>
  <c r="AR145" i="4"/>
  <c r="AT145" i="4" s="1"/>
  <c r="AR70" i="4"/>
  <c r="AT70" i="4" s="1"/>
  <c r="AR39" i="4"/>
  <c r="AT39" i="4" s="1"/>
  <c r="AR102" i="4"/>
  <c r="AT102" i="4" s="1"/>
  <c r="AR11" i="4"/>
  <c r="AT11" i="4" s="1"/>
  <c r="AR52" i="4"/>
  <c r="AT52" i="4" s="1"/>
  <c r="AR95" i="4"/>
  <c r="AT95" i="4" s="1"/>
  <c r="AR77" i="4"/>
  <c r="AT77" i="4" s="1"/>
  <c r="AR106" i="4"/>
  <c r="AT106" i="4" s="1"/>
  <c r="AR108" i="4"/>
  <c r="AT108" i="4" s="1"/>
  <c r="AR103" i="4"/>
  <c r="AT103" i="4" s="1"/>
  <c r="AR157" i="4"/>
  <c r="AT157" i="4" s="1"/>
  <c r="AR78" i="4"/>
  <c r="AT78" i="4" s="1"/>
  <c r="AR26" i="4"/>
  <c r="AT26" i="4" s="1"/>
  <c r="AR69" i="4"/>
  <c r="AT69" i="4" s="1"/>
  <c r="AR94" i="4"/>
  <c r="AT94" i="4" s="1"/>
  <c r="AR117" i="4"/>
  <c r="AT117" i="4" s="1"/>
  <c r="AR123" i="4"/>
  <c r="AT123" i="4" s="1"/>
  <c r="AR17" i="4"/>
  <c r="AT17" i="4" s="1"/>
  <c r="AR105" i="4"/>
  <c r="AT105" i="4" s="1"/>
  <c r="AR149" i="4"/>
  <c r="AT149" i="4" s="1"/>
  <c r="AR7" i="4"/>
  <c r="AT7" i="4" s="1"/>
  <c r="AR135" i="4"/>
  <c r="AT135" i="4" s="1"/>
  <c r="AR60" i="4"/>
  <c r="AT60" i="4" s="1"/>
  <c r="AR73" i="4"/>
  <c r="AT73" i="4" s="1"/>
  <c r="AR40" i="4"/>
  <c r="AT40" i="4" s="1"/>
  <c r="AR41" i="4"/>
  <c r="AT41" i="4" s="1"/>
  <c r="AR111" i="4"/>
  <c r="AT111" i="4" s="1"/>
  <c r="AR109" i="4"/>
  <c r="AT109" i="4" s="1"/>
  <c r="AR99" i="4"/>
  <c r="AT99" i="4" s="1"/>
  <c r="AR115" i="4"/>
  <c r="AT115" i="4" s="1"/>
  <c r="AR16" i="4"/>
  <c r="AT16" i="4" s="1"/>
  <c r="AR113" i="4"/>
  <c r="AT113" i="4" s="1"/>
  <c r="AR131" i="4"/>
  <c r="AT131" i="4" s="1"/>
  <c r="AR24" i="4"/>
  <c r="AT24" i="4" s="1"/>
  <c r="AR119" i="4"/>
  <c r="AT119" i="4" s="1"/>
  <c r="AR133" i="4"/>
  <c r="AT133" i="4" s="1"/>
  <c r="AR53" i="4"/>
  <c r="AT53" i="4" s="1"/>
  <c r="AR18" i="4"/>
  <c r="AT18" i="4" s="1"/>
  <c r="AR21" i="4"/>
  <c r="AT21" i="4" s="1"/>
  <c r="AR93" i="4"/>
  <c r="AT93" i="4" s="1"/>
  <c r="AR91" i="4"/>
  <c r="AT91" i="4" s="1"/>
  <c r="AR155" i="4"/>
  <c r="AT155" i="4" s="1"/>
  <c r="AR150" i="4"/>
  <c r="AT150" i="4" s="1"/>
  <c r="AR10" i="4"/>
  <c r="AT10" i="4" s="1"/>
  <c r="AR12" i="4"/>
  <c r="AT12" i="4" s="1"/>
  <c r="AR97" i="4"/>
  <c r="AT97" i="4" s="1"/>
  <c r="AR141" i="4"/>
  <c r="AT141" i="4" s="1"/>
  <c r="AR142" i="4"/>
  <c r="AT142" i="4" s="1"/>
  <c r="AR139" i="4"/>
  <c r="AT139" i="4" s="1"/>
  <c r="AR121" i="4"/>
  <c r="AT121" i="4" s="1"/>
  <c r="AR74" i="4"/>
  <c r="AT74" i="4" s="1"/>
  <c r="AR63" i="4"/>
  <c r="AT63" i="4" s="1"/>
  <c r="AR146" i="4"/>
  <c r="AT146" i="4" s="1"/>
  <c r="AR89" i="4"/>
  <c r="AT89" i="4" s="1"/>
  <c r="AR49" i="4"/>
  <c r="AT49" i="4" s="1"/>
  <c r="AR62" i="4"/>
  <c r="AT62" i="4" s="1"/>
  <c r="AR126" i="4"/>
  <c r="AT126" i="4" s="1"/>
  <c r="AR125" i="4"/>
  <c r="AT125" i="4" s="1"/>
  <c r="AR15" i="4"/>
  <c r="AT15" i="4" s="1"/>
  <c r="AR114" i="4"/>
  <c r="AT114" i="4" s="1"/>
  <c r="AR87" i="4"/>
  <c r="AT87" i="4" s="1"/>
  <c r="AR100" i="4"/>
  <c r="AT100" i="4" s="1"/>
  <c r="AR80" i="4"/>
  <c r="AT80" i="4" s="1"/>
  <c r="AR85" i="4"/>
  <c r="AT85" i="4" s="1"/>
  <c r="AR86" i="4"/>
  <c r="AT86" i="4" s="1"/>
  <c r="AR101" i="4"/>
  <c r="AT101" i="4" s="1"/>
  <c r="AR130" i="4"/>
  <c r="AT130" i="4" s="1"/>
  <c r="AR104" i="4"/>
  <c r="AT104" i="4" s="1"/>
  <c r="AR96" i="4"/>
  <c r="AT96" i="4" s="1"/>
  <c r="AR134" i="4"/>
  <c r="AT134" i="4" s="1"/>
  <c r="AR116" i="4"/>
  <c r="AT116" i="4" s="1"/>
  <c r="AR47" i="4"/>
  <c r="AT47" i="4" s="1"/>
  <c r="AR67" i="4"/>
  <c r="AT67" i="4" s="1"/>
  <c r="AR50" i="4"/>
  <c r="AT50" i="4" s="1"/>
  <c r="AR59" i="4"/>
  <c r="AT59" i="4" s="1"/>
  <c r="AR44" i="4"/>
  <c r="AT44" i="4" s="1"/>
  <c r="AR137" i="4"/>
  <c r="AT137" i="4" s="1"/>
  <c r="AR45" i="4"/>
  <c r="AT45" i="4" s="1"/>
  <c r="AR88" i="4"/>
  <c r="AT88" i="4" s="1"/>
  <c r="AR92" i="4"/>
  <c r="AT92" i="4" s="1"/>
  <c r="AR61" i="4"/>
  <c r="AT61" i="4" s="1"/>
  <c r="AR138" i="4"/>
  <c r="AT138" i="4" s="1"/>
  <c r="AR36" i="4"/>
  <c r="AT36" i="4" s="1"/>
  <c r="AR118" i="4"/>
  <c r="AT118" i="4" s="1"/>
  <c r="AR20" i="4"/>
  <c r="AT20" i="4" s="1"/>
  <c r="AR66" i="4"/>
  <c r="AT66" i="4" s="1"/>
  <c r="AQ161" i="5" l="1"/>
  <c r="AR256" i="5"/>
  <c r="AR67" i="5"/>
  <c r="AQ523" i="5"/>
  <c r="AR490" i="5"/>
  <c r="AR330" i="5"/>
  <c r="AR153" i="5"/>
  <c r="AR235" i="5"/>
  <c r="AQ357" i="5"/>
  <c r="AQ291" i="5"/>
  <c r="AQ148" i="5"/>
  <c r="AQ107" i="5"/>
  <c r="AQ433" i="5"/>
  <c r="AQ355" i="5"/>
  <c r="AQ560" i="5"/>
  <c r="AQ531" i="5"/>
  <c r="AQ77" i="5"/>
  <c r="AQ91" i="5"/>
  <c r="AR302" i="5"/>
  <c r="AQ243" i="5"/>
  <c r="AQ299" i="5"/>
  <c r="AR80" i="5"/>
  <c r="AQ197" i="5"/>
  <c r="AQ471" i="5"/>
  <c r="AR200" i="5"/>
  <c r="AR49" i="5"/>
  <c r="AR478" i="5"/>
  <c r="AR445" i="5"/>
  <c r="AQ73" i="5"/>
  <c r="AR174" i="5"/>
  <c r="AQ347" i="5"/>
  <c r="AR422" i="5"/>
  <c r="AQ37" i="5"/>
  <c r="AR265" i="5"/>
  <c r="AQ183" i="5"/>
  <c r="AQ479" i="5"/>
  <c r="AR216" i="5"/>
  <c r="AR88" i="5"/>
  <c r="AQ526" i="5"/>
  <c r="AQ48" i="5"/>
  <c r="AP12" i="5"/>
  <c r="AQ12" i="5" s="1"/>
  <c r="AQ559" i="5"/>
  <c r="AR288" i="5"/>
  <c r="AQ191" i="5"/>
  <c r="AR393" i="5"/>
  <c r="AR346" i="5"/>
  <c r="AQ509" i="5"/>
  <c r="AR450" i="5"/>
  <c r="AR24" i="5"/>
  <c r="AQ528" i="5"/>
  <c r="AQ506" i="5"/>
  <c r="AS7" i="5"/>
  <c r="AQ151" i="5"/>
  <c r="AQ257" i="5"/>
  <c r="AR497" i="5"/>
  <c r="AQ367" i="5"/>
  <c r="AR416" i="5"/>
  <c r="AQ35" i="5"/>
  <c r="AR244" i="5"/>
  <c r="AQ534" i="5"/>
  <c r="AQ188" i="5"/>
  <c r="AR466" i="5"/>
  <c r="AQ189" i="5"/>
  <c r="AQ476" i="5"/>
  <c r="AR432" i="5"/>
  <c r="AR272" i="5"/>
  <c r="AR271" i="5"/>
  <c r="AR40" i="5"/>
  <c r="AQ313" i="5"/>
  <c r="AQ487" i="5"/>
  <c r="AR352" i="5"/>
  <c r="AQ29" i="5"/>
  <c r="AQ81" i="5"/>
  <c r="AR268" i="5"/>
  <c r="AQ485" i="5"/>
  <c r="AR253" i="5"/>
  <c r="AR142" i="5"/>
  <c r="AR115" i="5"/>
  <c r="Y12" i="5"/>
  <c r="X12" i="5"/>
  <c r="AK12" i="5"/>
  <c r="AL12" i="5"/>
  <c r="AO12" i="5"/>
  <c r="AN12" i="5"/>
  <c r="AB12" i="5"/>
  <c r="AA12" i="5"/>
  <c r="AQ105" i="5"/>
  <c r="AI12" i="5"/>
  <c r="AH12" i="5"/>
  <c r="AQ144" i="5"/>
  <c r="AC12" i="5"/>
  <c r="B169" i="2"/>
  <c r="F69" i="1" s="1"/>
  <c r="AS38" i="5"/>
  <c r="AE38" i="5"/>
  <c r="AD38" i="5"/>
  <c r="AE533" i="5"/>
  <c r="AD533" i="5"/>
  <c r="AS533" i="5"/>
  <c r="AS349" i="5"/>
  <c r="AE349" i="5"/>
  <c r="AD349" i="5"/>
  <c r="AE483" i="5"/>
  <c r="AS483" i="5"/>
  <c r="AD483" i="5"/>
  <c r="AE257" i="5"/>
  <c r="AD257" i="5"/>
  <c r="AS257" i="5"/>
  <c r="AS419" i="5"/>
  <c r="AE419" i="5"/>
  <c r="AD419" i="5"/>
  <c r="AS294" i="5"/>
  <c r="AE294" i="5"/>
  <c r="AD294" i="5"/>
  <c r="AS497" i="5"/>
  <c r="AE497" i="5"/>
  <c r="AD497" i="5"/>
  <c r="AS447" i="5"/>
  <c r="AE447" i="5"/>
  <c r="AD447" i="5"/>
  <c r="AS523" i="5"/>
  <c r="AE523" i="5"/>
  <c r="AD523" i="5"/>
  <c r="AS298" i="5"/>
  <c r="AE298" i="5"/>
  <c r="AD298" i="5"/>
  <c r="AS252" i="5"/>
  <c r="AE252" i="5"/>
  <c r="AD252" i="5"/>
  <c r="AS530" i="5"/>
  <c r="AE530" i="5"/>
  <c r="AD530" i="5"/>
  <c r="AD469" i="5"/>
  <c r="AS469" i="5"/>
  <c r="AE469" i="5"/>
  <c r="AS214" i="5"/>
  <c r="AE214" i="5"/>
  <c r="AD214" i="5"/>
  <c r="AE50" i="5"/>
  <c r="AS50" i="5"/>
  <c r="AD50" i="5"/>
  <c r="AD9" i="5"/>
  <c r="AS9" i="5"/>
  <c r="AE9" i="5"/>
  <c r="AE336" i="5"/>
  <c r="AD336" i="5"/>
  <c r="AS336" i="5"/>
  <c r="AE267" i="5"/>
  <c r="AS267" i="5"/>
  <c r="AD267" i="5"/>
  <c r="AS217" i="5"/>
  <c r="AE217" i="5"/>
  <c r="AD217" i="5"/>
  <c r="AE92" i="5"/>
  <c r="AD92" i="5"/>
  <c r="AS92" i="5"/>
  <c r="AD437" i="5"/>
  <c r="AE437" i="5"/>
  <c r="AS437" i="5"/>
  <c r="AE333" i="5"/>
  <c r="AD333" i="5"/>
  <c r="AS333" i="5"/>
  <c r="AS221" i="5"/>
  <c r="AE221" i="5"/>
  <c r="AD221" i="5"/>
  <c r="AD144" i="5"/>
  <c r="AE144" i="5"/>
  <c r="AS144" i="5"/>
  <c r="AS520" i="5"/>
  <c r="AE520" i="5"/>
  <c r="AD520" i="5"/>
  <c r="AS477" i="5"/>
  <c r="AD477" i="5"/>
  <c r="AE477" i="5"/>
  <c r="AS418" i="5"/>
  <c r="AE418" i="5"/>
  <c r="AD418" i="5"/>
  <c r="AS315" i="5"/>
  <c r="AD315" i="5"/>
  <c r="AE315" i="5"/>
  <c r="AS131" i="5"/>
  <c r="AD131" i="5"/>
  <c r="AE131" i="5"/>
  <c r="AE321" i="5"/>
  <c r="AD321" i="5"/>
  <c r="AS321" i="5"/>
  <c r="AS161" i="5"/>
  <c r="AE161" i="5"/>
  <c r="AD161" i="5"/>
  <c r="AS278" i="5"/>
  <c r="AE278" i="5"/>
  <c r="AD278" i="5"/>
  <c r="AE176" i="5"/>
  <c r="AS176" i="5"/>
  <c r="AD176" i="5"/>
  <c r="AS95" i="5"/>
  <c r="AE95" i="5"/>
  <c r="AD95" i="5"/>
  <c r="AS427" i="5"/>
  <c r="AE427" i="5"/>
  <c r="AD427" i="5"/>
  <c r="AE512" i="5"/>
  <c r="AD512" i="5"/>
  <c r="AS512" i="5"/>
  <c r="AD388" i="5"/>
  <c r="AS388" i="5"/>
  <c r="AE388" i="5"/>
  <c r="AD254" i="5"/>
  <c r="AS254" i="5"/>
  <c r="AE254" i="5"/>
  <c r="AS203" i="5"/>
  <c r="AE203" i="5"/>
  <c r="AD203" i="5"/>
  <c r="AS24" i="5"/>
  <c r="AE24" i="5"/>
  <c r="AD24" i="5"/>
  <c r="AS481" i="5"/>
  <c r="AE481" i="5"/>
  <c r="AD481" i="5"/>
  <c r="AS438" i="5"/>
  <c r="AE438" i="5"/>
  <c r="AD438" i="5"/>
  <c r="AS179" i="5"/>
  <c r="AE179" i="5"/>
  <c r="AD179" i="5"/>
  <c r="AS117" i="5"/>
  <c r="AE117" i="5"/>
  <c r="AD117" i="5"/>
  <c r="AS78" i="5"/>
  <c r="AE78" i="5"/>
  <c r="AD78" i="5"/>
  <c r="AS30" i="5"/>
  <c r="AD30" i="5"/>
  <c r="AE30" i="5"/>
  <c r="AS475" i="5"/>
  <c r="AE475" i="5"/>
  <c r="AD475" i="5"/>
  <c r="AD309" i="5"/>
  <c r="AS309" i="5"/>
  <c r="AE309" i="5"/>
  <c r="AD168" i="5"/>
  <c r="AS168" i="5"/>
  <c r="AE168" i="5"/>
  <c r="AS171" i="5"/>
  <c r="AE171" i="5"/>
  <c r="AD171" i="5"/>
  <c r="AD58" i="5"/>
  <c r="AS58" i="5"/>
  <c r="AE58" i="5"/>
  <c r="AD461" i="5"/>
  <c r="AS461" i="5"/>
  <c r="AE461" i="5"/>
  <c r="AS423" i="5"/>
  <c r="AE423" i="5"/>
  <c r="AD423" i="5"/>
  <c r="AD236" i="5"/>
  <c r="AE236" i="5"/>
  <c r="AS236" i="5"/>
  <c r="X11" i="5"/>
  <c r="Y11" i="5"/>
  <c r="AD354" i="5"/>
  <c r="AS354" i="5"/>
  <c r="AE354" i="5"/>
  <c r="AD301" i="5"/>
  <c r="AS301" i="5"/>
  <c r="AE301" i="5"/>
  <c r="AS292" i="5"/>
  <c r="AD292" i="5"/>
  <c r="AE292" i="5"/>
  <c r="AS466" i="5"/>
  <c r="AE466" i="5"/>
  <c r="AD466" i="5"/>
  <c r="AS417" i="5"/>
  <c r="AD417" i="5"/>
  <c r="AE417" i="5"/>
  <c r="AS339" i="5"/>
  <c r="AD339" i="5"/>
  <c r="AE339" i="5"/>
  <c r="AS270" i="5"/>
  <c r="AE270" i="5"/>
  <c r="AD270" i="5"/>
  <c r="AS522" i="5"/>
  <c r="AE522" i="5"/>
  <c r="AD522" i="5"/>
  <c r="AS407" i="5"/>
  <c r="AE407" i="5"/>
  <c r="AD407" i="5"/>
  <c r="AS286" i="5"/>
  <c r="AE286" i="5"/>
  <c r="AD286" i="5"/>
  <c r="AD258" i="5"/>
  <c r="AS258" i="5"/>
  <c r="AE258" i="5"/>
  <c r="AS202" i="5"/>
  <c r="AE202" i="5"/>
  <c r="AD202" i="5"/>
  <c r="AS22" i="5"/>
  <c r="AE22" i="5"/>
  <c r="AD22" i="5"/>
  <c r="AS540" i="5"/>
  <c r="AE540" i="5"/>
  <c r="AD540" i="5"/>
  <c r="AS397" i="5"/>
  <c r="AD397" i="5"/>
  <c r="AE397" i="5"/>
  <c r="AS300" i="5"/>
  <c r="AE300" i="5"/>
  <c r="AD300" i="5"/>
  <c r="AS231" i="5"/>
  <c r="AE231" i="5"/>
  <c r="AD231" i="5"/>
  <c r="AS215" i="5"/>
  <c r="AE215" i="5"/>
  <c r="AD215" i="5"/>
  <c r="AS115" i="5"/>
  <c r="AD115" i="5"/>
  <c r="AE115" i="5"/>
  <c r="AS69" i="5"/>
  <c r="AE69" i="5"/>
  <c r="AD69" i="5"/>
  <c r="AD63" i="5"/>
  <c r="AS63" i="5"/>
  <c r="AE63" i="5"/>
  <c r="AS515" i="5"/>
  <c r="AE515" i="5"/>
  <c r="AD515" i="5"/>
  <c r="AS513" i="5"/>
  <c r="AE513" i="5"/>
  <c r="AD513" i="5"/>
  <c r="AD416" i="5"/>
  <c r="AS416" i="5"/>
  <c r="AE416" i="5"/>
  <c r="AS282" i="5"/>
  <c r="AE282" i="5"/>
  <c r="AD282" i="5"/>
  <c r="AD269" i="5"/>
  <c r="AS269" i="5"/>
  <c r="AE269" i="5"/>
  <c r="AS194" i="5"/>
  <c r="AE194" i="5"/>
  <c r="AD194" i="5"/>
  <c r="AS145" i="5"/>
  <c r="AE145" i="5"/>
  <c r="AD145" i="5"/>
  <c r="AP10" i="5"/>
  <c r="AH10" i="5"/>
  <c r="AI10" i="5"/>
  <c r="AE25" i="5"/>
  <c r="AS25" i="5"/>
  <c r="AD25" i="5"/>
  <c r="AS519" i="5"/>
  <c r="AE519" i="5"/>
  <c r="AD519" i="5"/>
  <c r="AS314" i="5"/>
  <c r="AD314" i="5"/>
  <c r="AE314" i="5"/>
  <c r="AD277" i="5"/>
  <c r="AS277" i="5"/>
  <c r="AE277" i="5"/>
  <c r="AS266" i="5"/>
  <c r="AE266" i="5"/>
  <c r="AD266" i="5"/>
  <c r="AS191" i="5"/>
  <c r="AE191" i="5"/>
  <c r="AD191" i="5"/>
  <c r="AS406" i="5"/>
  <c r="AE406" i="5"/>
  <c r="AD406" i="5"/>
  <c r="AS52" i="5"/>
  <c r="AE52" i="5"/>
  <c r="AD52" i="5"/>
  <c r="AE261" i="5"/>
  <c r="AD261" i="5"/>
  <c r="AS261" i="5"/>
  <c r="AE557" i="5"/>
  <c r="AD557" i="5"/>
  <c r="AS557" i="5"/>
  <c r="AS386" i="5"/>
  <c r="AD386" i="5"/>
  <c r="AE386" i="5"/>
  <c r="AD371" i="5"/>
  <c r="AS371" i="5"/>
  <c r="AE371" i="5"/>
  <c r="AD297" i="5"/>
  <c r="AE297" i="5"/>
  <c r="AS297" i="5"/>
  <c r="AE256" i="5"/>
  <c r="AD256" i="5"/>
  <c r="AS256" i="5"/>
  <c r="AS451" i="5"/>
  <c r="AE451" i="5"/>
  <c r="AD451" i="5"/>
  <c r="AD359" i="5"/>
  <c r="AS359" i="5"/>
  <c r="AE359" i="5"/>
  <c r="AS290" i="5"/>
  <c r="AE290" i="5"/>
  <c r="AD290" i="5"/>
  <c r="AH11" i="5"/>
  <c r="AP11" i="5"/>
  <c r="AI11" i="5"/>
  <c r="AD139" i="5"/>
  <c r="AS139" i="5"/>
  <c r="AE139" i="5"/>
  <c r="AS147" i="5"/>
  <c r="AE147" i="5"/>
  <c r="AD147" i="5"/>
  <c r="AD488" i="5"/>
  <c r="AE488" i="5"/>
  <c r="AS488" i="5"/>
  <c r="AE518" i="5"/>
  <c r="AD518" i="5"/>
  <c r="AS518" i="5"/>
  <c r="AB11" i="5"/>
  <c r="AA11" i="5"/>
  <c r="AD232" i="5"/>
  <c r="AE232" i="5"/>
  <c r="AS232" i="5"/>
  <c r="AE329" i="5"/>
  <c r="AD329" i="5"/>
  <c r="AS329" i="5"/>
  <c r="AS539" i="5"/>
  <c r="AE539" i="5"/>
  <c r="AD539" i="5"/>
  <c r="AE514" i="5"/>
  <c r="AD514" i="5"/>
  <c r="AS514" i="5"/>
  <c r="AS459" i="5"/>
  <c r="AE459" i="5"/>
  <c r="AD459" i="5"/>
  <c r="AS337" i="5"/>
  <c r="AE337" i="5"/>
  <c r="AD337" i="5"/>
  <c r="AD305" i="5"/>
  <c r="AS305" i="5"/>
  <c r="AE305" i="5"/>
  <c r="AE192" i="5"/>
  <c r="AS192" i="5"/>
  <c r="AD192" i="5"/>
  <c r="AS159" i="5"/>
  <c r="AD159" i="5"/>
  <c r="AE159" i="5"/>
  <c r="AS137" i="5"/>
  <c r="AE137" i="5"/>
  <c r="AD137" i="5"/>
  <c r="AD193" i="5"/>
  <c r="AS193" i="5"/>
  <c r="AE193" i="5"/>
  <c r="AE112" i="5"/>
  <c r="AD112" i="5"/>
  <c r="AS112" i="5"/>
  <c r="AE328" i="5"/>
  <c r="AS328" i="5"/>
  <c r="AD328" i="5"/>
  <c r="AE209" i="5"/>
  <c r="AD209" i="5"/>
  <c r="AS209" i="5"/>
  <c r="AE82" i="5"/>
  <c r="AD82" i="5"/>
  <c r="AS82" i="5"/>
  <c r="AS394" i="5"/>
  <c r="AE394" i="5"/>
  <c r="AD394" i="5"/>
  <c r="AS310" i="5"/>
  <c r="AD310" i="5"/>
  <c r="AE310" i="5"/>
  <c r="AD486" i="5"/>
  <c r="AE486" i="5"/>
  <c r="AS486" i="5"/>
  <c r="AS318" i="5"/>
  <c r="AD318" i="5"/>
  <c r="AE318" i="5"/>
  <c r="AL10" i="5"/>
  <c r="AK10" i="5"/>
  <c r="AD504" i="5"/>
  <c r="AS504" i="5"/>
  <c r="AE504" i="5"/>
  <c r="AS414" i="5"/>
  <c r="AE414" i="5"/>
  <c r="AD414" i="5"/>
  <c r="AS559" i="5"/>
  <c r="AE559" i="5"/>
  <c r="AD559" i="5"/>
  <c r="AS391" i="5"/>
  <c r="AE391" i="5"/>
  <c r="AD391" i="5"/>
  <c r="AS358" i="5"/>
  <c r="AD358" i="5"/>
  <c r="AE358" i="5"/>
  <c r="AD246" i="5"/>
  <c r="AS246" i="5"/>
  <c r="AE246" i="5"/>
  <c r="AS195" i="5"/>
  <c r="AE195" i="5"/>
  <c r="AD195" i="5"/>
  <c r="AD128" i="5"/>
  <c r="AE128" i="5"/>
  <c r="AS128" i="5"/>
  <c r="AD71" i="5"/>
  <c r="AS71" i="5"/>
  <c r="AE71" i="5"/>
  <c r="AS20" i="5"/>
  <c r="AD20" i="5"/>
  <c r="AE20" i="5"/>
  <c r="AS353" i="5"/>
  <c r="AD353" i="5"/>
  <c r="AE353" i="5"/>
  <c r="AS255" i="5"/>
  <c r="AE255" i="5"/>
  <c r="AD255" i="5"/>
  <c r="AS223" i="5"/>
  <c r="AE223" i="5"/>
  <c r="AD223" i="5"/>
  <c r="AS43" i="5"/>
  <c r="AE43" i="5"/>
  <c r="AD43" i="5"/>
  <c r="AD250" i="5"/>
  <c r="AS250" i="5"/>
  <c r="AE250" i="5"/>
  <c r="AE553" i="5"/>
  <c r="AD553" i="5"/>
  <c r="AS553" i="5"/>
  <c r="AD375" i="5"/>
  <c r="AS375" i="5"/>
  <c r="AE375" i="5"/>
  <c r="AE260" i="5"/>
  <c r="AS260" i="5"/>
  <c r="AD260" i="5"/>
  <c r="AE56" i="5"/>
  <c r="AD56" i="5"/>
  <c r="AS56" i="5"/>
  <c r="AE124" i="5"/>
  <c r="AD124" i="5"/>
  <c r="AS124" i="5"/>
  <c r="AD148" i="5"/>
  <c r="AS148" i="5"/>
  <c r="AE148" i="5"/>
  <c r="AD494" i="5"/>
  <c r="AS494" i="5"/>
  <c r="AE494" i="5"/>
  <c r="AL11" i="5"/>
  <c r="AK11" i="5"/>
  <c r="AE508" i="5"/>
  <c r="AD508" i="5"/>
  <c r="AS508" i="5"/>
  <c r="AS507" i="5"/>
  <c r="AE507" i="5"/>
  <c r="AD507" i="5"/>
  <c r="AE108" i="5"/>
  <c r="AD108" i="5"/>
  <c r="AS108" i="5"/>
  <c r="AD283" i="5"/>
  <c r="AS283" i="5"/>
  <c r="AE283" i="5"/>
  <c r="AS385" i="5"/>
  <c r="AE385" i="5"/>
  <c r="AD385" i="5"/>
  <c r="AE166" i="5"/>
  <c r="AS166" i="5"/>
  <c r="AD166" i="5"/>
  <c r="AE272" i="5"/>
  <c r="AS272" i="5"/>
  <c r="AD272" i="5"/>
  <c r="AS344" i="5"/>
  <c r="AE344" i="5"/>
  <c r="AD344" i="5"/>
  <c r="AE537" i="5"/>
  <c r="AD537" i="5"/>
  <c r="AS537" i="5"/>
  <c r="AS334" i="5"/>
  <c r="AE334" i="5"/>
  <c r="AD334" i="5"/>
  <c r="AS57" i="5"/>
  <c r="AE57" i="5"/>
  <c r="AD57" i="5"/>
  <c r="AS526" i="5"/>
  <c r="AE526" i="5"/>
  <c r="AD526" i="5"/>
  <c r="AS405" i="5"/>
  <c r="AD405" i="5"/>
  <c r="AE405" i="5"/>
  <c r="AE241" i="5"/>
  <c r="AD241" i="5"/>
  <c r="AS241" i="5"/>
  <c r="AE154" i="5"/>
  <c r="AD154" i="5"/>
  <c r="AS154" i="5"/>
  <c r="AS123" i="5"/>
  <c r="AD123" i="5"/>
  <c r="AE123" i="5"/>
  <c r="AS76" i="5"/>
  <c r="AE76" i="5"/>
  <c r="AD76" i="5"/>
  <c r="AS105" i="5"/>
  <c r="AD105" i="5"/>
  <c r="AE105" i="5"/>
  <c r="B171" i="2"/>
  <c r="F70" i="1" s="1"/>
  <c r="AD432" i="5"/>
  <c r="AS432" i="5"/>
  <c r="AE432" i="5"/>
  <c r="AE134" i="5"/>
  <c r="AS134" i="5"/>
  <c r="AD134" i="5"/>
  <c r="AS431" i="5"/>
  <c r="AE431" i="5"/>
  <c r="AD431" i="5"/>
  <c r="AE122" i="5"/>
  <c r="AD122" i="5"/>
  <c r="AS122" i="5"/>
  <c r="Y10" i="5"/>
  <c r="X10" i="5"/>
  <c r="AE468" i="5"/>
  <c r="AD468" i="5"/>
  <c r="AS468" i="5"/>
  <c r="AE118" i="5"/>
  <c r="AD118" i="5"/>
  <c r="AS118" i="5"/>
  <c r="AD132" i="5"/>
  <c r="AE132" i="5"/>
  <c r="AS132" i="5"/>
  <c r="AE120" i="5"/>
  <c r="AD120" i="5"/>
  <c r="AS120" i="5"/>
  <c r="AD496" i="5"/>
  <c r="AS496" i="5"/>
  <c r="AE496" i="5"/>
  <c r="AE320" i="5"/>
  <c r="AS320" i="5"/>
  <c r="AD320" i="5"/>
  <c r="AS495" i="5"/>
  <c r="AE495" i="5"/>
  <c r="AD495" i="5"/>
  <c r="AS360" i="5"/>
  <c r="AE360" i="5"/>
  <c r="AD360" i="5"/>
  <c r="AS455" i="5"/>
  <c r="AE455" i="5"/>
  <c r="AD455" i="5"/>
  <c r="AS238" i="5"/>
  <c r="AE238" i="5"/>
  <c r="AD238" i="5"/>
  <c r="AD500" i="5"/>
  <c r="AS500" i="5"/>
  <c r="AE500" i="5"/>
  <c r="AS485" i="5"/>
  <c r="AE485" i="5"/>
  <c r="AD485" i="5"/>
  <c r="AS410" i="5"/>
  <c r="AE410" i="5"/>
  <c r="AD410" i="5"/>
  <c r="AE268" i="5"/>
  <c r="AD268" i="5"/>
  <c r="AS268" i="5"/>
  <c r="AS165" i="5"/>
  <c r="AE165" i="5"/>
  <c r="AD165" i="5"/>
  <c r="AE516" i="5"/>
  <c r="AD516" i="5"/>
  <c r="AS516" i="5"/>
  <c r="AD408" i="5"/>
  <c r="AS408" i="5"/>
  <c r="AE408" i="5"/>
  <c r="AD350" i="5"/>
  <c r="AS350" i="5"/>
  <c r="AE350" i="5"/>
  <c r="AS29" i="5"/>
  <c r="AE29" i="5"/>
  <c r="AD29" i="5"/>
  <c r="AD453" i="5"/>
  <c r="AS453" i="5"/>
  <c r="AE453" i="5"/>
  <c r="AS542" i="5"/>
  <c r="AE542" i="5"/>
  <c r="AD542" i="5"/>
  <c r="AE479" i="5"/>
  <c r="AS479" i="5"/>
  <c r="AD479" i="5"/>
  <c r="AS429" i="5"/>
  <c r="AE429" i="5"/>
  <c r="AD429" i="5"/>
  <c r="AS86" i="5"/>
  <c r="AE86" i="5"/>
  <c r="AD86" i="5"/>
  <c r="AO11" i="5"/>
  <c r="AN11" i="5"/>
  <c r="AE35" i="5"/>
  <c r="AS35" i="5"/>
  <c r="AD35" i="5"/>
  <c r="AS55" i="5"/>
  <c r="AD55" i="5"/>
  <c r="AE55" i="5"/>
  <c r="AD384" i="5"/>
  <c r="AS384" i="5"/>
  <c r="AE384" i="5"/>
  <c r="AS319" i="5"/>
  <c r="AD319" i="5"/>
  <c r="AE319" i="5"/>
  <c r="AD404" i="5"/>
  <c r="AS404" i="5"/>
  <c r="AE404" i="5"/>
  <c r="AS340" i="5"/>
  <c r="AE340" i="5"/>
  <c r="AD340" i="5"/>
  <c r="AD445" i="5"/>
  <c r="AS445" i="5"/>
  <c r="AE445" i="5"/>
  <c r="AE98" i="5"/>
  <c r="AD98" i="5"/>
  <c r="AS98" i="5"/>
  <c r="AS534" i="5"/>
  <c r="AE534" i="5"/>
  <c r="AD534" i="5"/>
  <c r="AS382" i="5"/>
  <c r="AE382" i="5"/>
  <c r="AD382" i="5"/>
  <c r="AE212" i="5"/>
  <c r="AD212" i="5"/>
  <c r="AS212" i="5"/>
  <c r="AS439" i="5"/>
  <c r="AE439" i="5"/>
  <c r="AD439" i="5"/>
  <c r="AS398" i="5"/>
  <c r="AE398" i="5"/>
  <c r="AD398" i="5"/>
  <c r="AS527" i="5"/>
  <c r="AE527" i="5"/>
  <c r="AD527" i="5"/>
  <c r="AS501" i="5"/>
  <c r="AE501" i="5"/>
  <c r="AD501" i="5"/>
  <c r="AE448" i="5"/>
  <c r="AS448" i="5"/>
  <c r="AD448" i="5"/>
  <c r="AS377" i="5"/>
  <c r="AE377" i="5"/>
  <c r="AD377" i="5"/>
  <c r="AS341" i="5"/>
  <c r="AE341" i="5"/>
  <c r="AD341" i="5"/>
  <c r="AS303" i="5"/>
  <c r="AD303" i="5"/>
  <c r="AE303" i="5"/>
  <c r="AS240" i="5"/>
  <c r="AE240" i="5"/>
  <c r="AD240" i="5"/>
  <c r="AS185" i="5"/>
  <c r="AE185" i="5"/>
  <c r="AD185" i="5"/>
  <c r="AS135" i="5"/>
  <c r="AE135" i="5"/>
  <c r="AD135" i="5"/>
  <c r="AE182" i="5"/>
  <c r="AD182" i="5"/>
  <c r="AS182" i="5"/>
  <c r="AE12" i="5"/>
  <c r="AD12" i="5"/>
  <c r="AS558" i="5"/>
  <c r="AE558" i="5"/>
  <c r="AD558" i="5"/>
  <c r="AE517" i="5"/>
  <c r="AS517" i="5"/>
  <c r="AD517" i="5"/>
  <c r="AD428" i="5"/>
  <c r="AS428" i="5"/>
  <c r="AE428" i="5"/>
  <c r="AS403" i="5"/>
  <c r="AE403" i="5"/>
  <c r="AD403" i="5"/>
  <c r="AD367" i="5"/>
  <c r="AS367" i="5"/>
  <c r="AE367" i="5"/>
  <c r="AD281" i="5"/>
  <c r="AS281" i="5"/>
  <c r="AE281" i="5"/>
  <c r="AS129" i="5"/>
  <c r="AE129" i="5"/>
  <c r="AD129" i="5"/>
  <c r="AS49" i="5"/>
  <c r="AE49" i="5"/>
  <c r="AD49" i="5"/>
  <c r="AS169" i="5"/>
  <c r="AE169" i="5"/>
  <c r="AD169" i="5"/>
  <c r="AS528" i="5"/>
  <c r="AE528" i="5"/>
  <c r="AD528" i="5"/>
  <c r="AS536" i="5"/>
  <c r="AE536" i="5"/>
  <c r="AD536" i="5"/>
  <c r="AS393" i="5"/>
  <c r="AD393" i="5"/>
  <c r="AE393" i="5"/>
  <c r="AD392" i="5"/>
  <c r="AS392" i="5"/>
  <c r="AE392" i="5"/>
  <c r="AS227" i="5"/>
  <c r="AE227" i="5"/>
  <c r="AD227" i="5"/>
  <c r="AS211" i="5"/>
  <c r="AE211" i="5"/>
  <c r="AD211" i="5"/>
  <c r="AS64" i="5"/>
  <c r="AE64" i="5"/>
  <c r="AD64" i="5"/>
  <c r="AB10" i="5"/>
  <c r="AA10" i="5"/>
  <c r="AE36" i="5"/>
  <c r="AD36" i="5"/>
  <c r="AS36" i="5"/>
  <c r="AE525" i="5"/>
  <c r="AD525" i="5"/>
  <c r="AS525" i="5"/>
  <c r="AD476" i="5"/>
  <c r="AS476" i="5"/>
  <c r="AE476" i="5"/>
  <c r="AS389" i="5"/>
  <c r="AD389" i="5"/>
  <c r="AE389" i="5"/>
  <c r="AS288" i="5"/>
  <c r="AE288" i="5"/>
  <c r="AD288" i="5"/>
  <c r="AD262" i="5"/>
  <c r="AS262" i="5"/>
  <c r="AE262" i="5"/>
  <c r="AS207" i="5"/>
  <c r="AE207" i="5"/>
  <c r="AD207" i="5"/>
  <c r="AE107" i="5"/>
  <c r="AD107" i="5"/>
  <c r="AS107" i="5"/>
  <c r="AS62" i="5"/>
  <c r="AE62" i="5"/>
  <c r="AD62" i="5"/>
  <c r="AS34" i="5"/>
  <c r="AE34" i="5"/>
  <c r="AD34" i="5"/>
  <c r="AS54" i="5"/>
  <c r="AE54" i="5"/>
  <c r="AD54" i="5"/>
  <c r="AE510" i="5"/>
  <c r="AD510" i="5"/>
  <c r="AS510" i="5"/>
  <c r="AE180" i="5"/>
  <c r="AS180" i="5"/>
  <c r="AD180" i="5"/>
  <c r="AE456" i="5"/>
  <c r="AD456" i="5"/>
  <c r="AS456" i="5"/>
  <c r="AD79" i="5"/>
  <c r="AS79" i="5"/>
  <c r="AE79" i="5"/>
  <c r="AD265" i="5"/>
  <c r="AS265" i="5"/>
  <c r="AE265" i="5"/>
  <c r="AS308" i="5"/>
  <c r="AE308" i="5"/>
  <c r="AD308" i="5"/>
  <c r="AE174" i="5"/>
  <c r="AD174" i="5"/>
  <c r="AS174" i="5"/>
  <c r="AS153" i="5"/>
  <c r="AE153" i="5"/>
  <c r="AD153" i="5"/>
  <c r="AD317" i="5"/>
  <c r="AS317" i="5"/>
  <c r="AE317" i="5"/>
  <c r="AD220" i="5"/>
  <c r="AE220" i="5"/>
  <c r="AS220" i="5"/>
  <c r="S11" i="5"/>
  <c r="R11" i="5"/>
  <c r="AS189" i="5"/>
  <c r="AE189" i="5"/>
  <c r="AD189" i="5"/>
  <c r="AE208" i="5"/>
  <c r="AD208" i="5"/>
  <c r="AS208" i="5"/>
  <c r="AS91" i="5"/>
  <c r="AE91" i="5"/>
  <c r="AD91" i="5"/>
  <c r="AE96" i="5"/>
  <c r="AD96" i="5"/>
  <c r="AS96" i="5"/>
  <c r="AD127" i="5"/>
  <c r="AS127" i="5"/>
  <c r="AE127" i="5"/>
  <c r="AD433" i="5"/>
  <c r="AS433" i="5"/>
  <c r="AE433" i="5"/>
  <c r="AS226" i="5"/>
  <c r="AE226" i="5"/>
  <c r="AD226" i="5"/>
  <c r="AE541" i="5"/>
  <c r="AD541" i="5"/>
  <c r="AS541" i="5"/>
  <c r="AS546" i="5"/>
  <c r="AE546" i="5"/>
  <c r="AD546" i="5"/>
  <c r="AE436" i="5"/>
  <c r="AS436" i="5"/>
  <c r="AD436" i="5"/>
  <c r="AS425" i="5"/>
  <c r="AD425" i="5"/>
  <c r="AE425" i="5"/>
  <c r="AS338" i="5"/>
  <c r="AE338" i="5"/>
  <c r="AD338" i="5"/>
  <c r="AS230" i="5"/>
  <c r="AE230" i="5"/>
  <c r="AD230" i="5"/>
  <c r="AE216" i="5"/>
  <c r="AD216" i="5"/>
  <c r="AS216" i="5"/>
  <c r="AS163" i="5"/>
  <c r="AE163" i="5"/>
  <c r="AD163" i="5"/>
  <c r="AS61" i="5"/>
  <c r="AE61" i="5"/>
  <c r="AD61" i="5"/>
  <c r="AD342" i="5"/>
  <c r="AE342" i="5"/>
  <c r="AS342" i="5"/>
  <c r="AE150" i="5"/>
  <c r="AS150" i="5"/>
  <c r="AD150" i="5"/>
  <c r="AE106" i="5"/>
  <c r="AD106" i="5"/>
  <c r="AS106" i="5"/>
  <c r="AE275" i="5"/>
  <c r="AD275" i="5"/>
  <c r="AS275" i="5"/>
  <c r="AS327" i="5"/>
  <c r="AD327" i="5"/>
  <c r="AE327" i="5"/>
  <c r="AS190" i="5"/>
  <c r="AE190" i="5"/>
  <c r="AD190" i="5"/>
  <c r="AE70" i="5"/>
  <c r="AD70" i="5"/>
  <c r="AS70" i="5"/>
  <c r="AE325" i="5"/>
  <c r="AD325" i="5"/>
  <c r="AS325" i="5"/>
  <c r="AE205" i="5"/>
  <c r="AD205" i="5"/>
  <c r="AS205" i="5"/>
  <c r="AE196" i="5"/>
  <c r="AD196" i="5"/>
  <c r="AS196" i="5"/>
  <c r="AD295" i="5"/>
  <c r="AS295" i="5"/>
  <c r="AE295" i="5"/>
  <c r="AS306" i="5"/>
  <c r="AD306" i="5"/>
  <c r="AE306" i="5"/>
  <c r="AS111" i="5"/>
  <c r="AE111" i="5"/>
  <c r="AD111" i="5"/>
  <c r="AO10" i="5"/>
  <c r="AN10" i="5"/>
  <c r="AE316" i="5"/>
  <c r="AS316" i="5"/>
  <c r="AD316" i="5"/>
  <c r="AS390" i="5"/>
  <c r="AE390" i="5"/>
  <c r="AD390" i="5"/>
  <c r="AS548" i="5"/>
  <c r="AE548" i="5"/>
  <c r="AD548" i="5"/>
  <c r="AD484" i="5"/>
  <c r="AS484" i="5"/>
  <c r="AE484" i="5"/>
  <c r="AE440" i="5"/>
  <c r="AS440" i="5"/>
  <c r="AD440" i="5"/>
  <c r="AS361" i="5"/>
  <c r="AD361" i="5"/>
  <c r="AE361" i="5"/>
  <c r="AD279" i="5"/>
  <c r="AS279" i="5"/>
  <c r="AE279" i="5"/>
  <c r="AS121" i="5"/>
  <c r="AE121" i="5"/>
  <c r="AD121" i="5"/>
  <c r="AS93" i="5"/>
  <c r="AE93" i="5"/>
  <c r="AD93" i="5"/>
  <c r="AS80" i="5"/>
  <c r="AE80" i="5"/>
  <c r="AD80" i="5"/>
  <c r="AE506" i="5"/>
  <c r="AD506" i="5"/>
  <c r="AS506" i="5"/>
  <c r="AS467" i="5"/>
  <c r="AE467" i="5"/>
  <c r="AD467" i="5"/>
  <c r="AE186" i="5"/>
  <c r="AD186" i="5"/>
  <c r="AS186" i="5"/>
  <c r="AS8" i="5"/>
  <c r="AD8" i="5"/>
  <c r="AE8" i="5"/>
  <c r="AS426" i="5"/>
  <c r="AE426" i="5"/>
  <c r="AD426" i="5"/>
  <c r="AD498" i="5"/>
  <c r="AS498" i="5"/>
  <c r="AE498" i="5"/>
  <c r="AD480" i="5"/>
  <c r="AS480" i="5"/>
  <c r="AE480" i="5"/>
  <c r="AS430" i="5"/>
  <c r="AE430" i="5"/>
  <c r="AD430" i="5"/>
  <c r="AD67" i="5"/>
  <c r="AS67" i="5"/>
  <c r="AE67" i="5"/>
  <c r="AD346" i="5"/>
  <c r="AS346" i="5"/>
  <c r="AE346" i="5"/>
  <c r="AD285" i="5"/>
  <c r="AE285" i="5"/>
  <c r="AS285" i="5"/>
  <c r="AE239" i="5"/>
  <c r="AD239" i="5"/>
  <c r="AS239" i="5"/>
  <c r="AE100" i="5"/>
  <c r="AD100" i="5"/>
  <c r="AS100" i="5"/>
  <c r="AD40" i="5"/>
  <c r="AS40" i="5"/>
  <c r="AE40" i="5"/>
  <c r="V11" i="5"/>
  <c r="AC11" i="5"/>
  <c r="U11" i="5"/>
  <c r="AE452" i="5"/>
  <c r="AS452" i="5"/>
  <c r="AD452" i="5"/>
  <c r="AS378" i="5"/>
  <c r="AE378" i="5"/>
  <c r="AD378" i="5"/>
  <c r="AS458" i="5"/>
  <c r="AE458" i="5"/>
  <c r="AD458" i="5"/>
  <c r="AS173" i="5"/>
  <c r="AE173" i="5"/>
  <c r="AD173" i="5"/>
  <c r="AS434" i="5"/>
  <c r="AE434" i="5"/>
  <c r="AD434" i="5"/>
  <c r="AD355" i="5"/>
  <c r="AS355" i="5"/>
  <c r="AE355" i="5"/>
  <c r="AS409" i="5"/>
  <c r="AD409" i="5"/>
  <c r="AE409" i="5"/>
  <c r="AD400" i="5"/>
  <c r="AS400" i="5"/>
  <c r="AE400" i="5"/>
  <c r="AE245" i="5"/>
  <c r="AD245" i="5"/>
  <c r="AS245" i="5"/>
  <c r="AE158" i="5"/>
  <c r="AS158" i="5"/>
  <c r="AD158" i="5"/>
  <c r="AD160" i="5"/>
  <c r="AS160" i="5"/>
  <c r="AE160" i="5"/>
  <c r="AS81" i="5"/>
  <c r="AE81" i="5"/>
  <c r="AD81" i="5"/>
  <c r="AD136" i="5"/>
  <c r="AS136" i="5"/>
  <c r="AE136" i="5"/>
  <c r="AS511" i="5"/>
  <c r="AE511" i="5"/>
  <c r="AD511" i="5"/>
  <c r="AD457" i="5"/>
  <c r="AS457" i="5"/>
  <c r="AE457" i="5"/>
  <c r="AS411" i="5"/>
  <c r="AE411" i="5"/>
  <c r="AD411" i="5"/>
  <c r="AE332" i="5"/>
  <c r="AS332" i="5"/>
  <c r="AD332" i="5"/>
  <c r="AD293" i="5"/>
  <c r="AS293" i="5"/>
  <c r="AE293" i="5"/>
  <c r="AS206" i="5"/>
  <c r="AE206" i="5"/>
  <c r="AD206" i="5"/>
  <c r="AS32" i="5"/>
  <c r="AE32" i="5"/>
  <c r="AD32" i="5"/>
  <c r="AE116" i="5"/>
  <c r="AD116" i="5"/>
  <c r="AS116" i="5"/>
  <c r="AS28" i="5"/>
  <c r="AE28" i="5"/>
  <c r="AD28" i="5"/>
  <c r="R10" i="5"/>
  <c r="S10" i="5"/>
  <c r="AD299" i="5"/>
  <c r="AS299" i="5"/>
  <c r="AE299" i="5"/>
  <c r="AD441" i="5"/>
  <c r="AS441" i="5"/>
  <c r="AE441" i="5"/>
  <c r="AS259" i="5"/>
  <c r="AD259" i="5"/>
  <c r="AE259" i="5"/>
  <c r="AS109" i="5"/>
  <c r="AE109" i="5"/>
  <c r="AD109" i="5"/>
  <c r="AS380" i="5"/>
  <c r="AE380" i="5"/>
  <c r="AD380" i="5"/>
  <c r="AD465" i="5"/>
  <c r="AS465" i="5"/>
  <c r="AE465" i="5"/>
  <c r="AS302" i="5"/>
  <c r="AE302" i="5"/>
  <c r="AD302" i="5"/>
  <c r="AS46" i="5"/>
  <c r="AE46" i="5"/>
  <c r="AD46" i="5"/>
  <c r="AS247" i="5"/>
  <c r="AD247" i="5"/>
  <c r="AE247" i="5"/>
  <c r="AS524" i="5"/>
  <c r="AE524" i="5"/>
  <c r="AD524" i="5"/>
  <c r="AE460" i="5"/>
  <c r="AS460" i="5"/>
  <c r="AD460" i="5"/>
  <c r="AE324" i="5"/>
  <c r="AS324" i="5"/>
  <c r="AD324" i="5"/>
  <c r="AS199" i="5"/>
  <c r="AE199" i="5"/>
  <c r="AD199" i="5"/>
  <c r="AD152" i="5"/>
  <c r="AE152" i="5"/>
  <c r="AS152" i="5"/>
  <c r="AS368" i="5"/>
  <c r="AE368" i="5"/>
  <c r="AD368" i="5"/>
  <c r="AS543" i="5"/>
  <c r="AE543" i="5"/>
  <c r="AD543" i="5"/>
  <c r="AE521" i="5"/>
  <c r="AD521" i="5"/>
  <c r="AS521" i="5"/>
  <c r="AE464" i="5"/>
  <c r="AS464" i="5"/>
  <c r="AD464" i="5"/>
  <c r="AS421" i="5"/>
  <c r="AD421" i="5"/>
  <c r="AE421" i="5"/>
  <c r="AS348" i="5"/>
  <c r="AE348" i="5"/>
  <c r="AD348" i="5"/>
  <c r="AS307" i="5"/>
  <c r="AD307" i="5"/>
  <c r="AE307" i="5"/>
  <c r="AS133" i="5"/>
  <c r="AE133" i="5"/>
  <c r="AD133" i="5"/>
  <c r="AS330" i="5"/>
  <c r="AE330" i="5"/>
  <c r="AD330" i="5"/>
  <c r="AS113" i="5"/>
  <c r="AE113" i="5"/>
  <c r="AD113" i="5"/>
  <c r="AE204" i="5"/>
  <c r="AD204" i="5"/>
  <c r="AS204" i="5"/>
  <c r="AS296" i="5"/>
  <c r="AE296" i="5"/>
  <c r="AD296" i="5"/>
  <c r="AS183" i="5"/>
  <c r="AE183" i="5"/>
  <c r="AD183" i="5"/>
  <c r="AS554" i="5"/>
  <c r="AE554" i="5"/>
  <c r="AD554" i="5"/>
  <c r="AS503" i="5"/>
  <c r="AE503" i="5"/>
  <c r="AD503" i="5"/>
  <c r="AD424" i="5"/>
  <c r="AS424" i="5"/>
  <c r="AE424" i="5"/>
  <c r="AS399" i="5"/>
  <c r="AE399" i="5"/>
  <c r="AD399" i="5"/>
  <c r="AS276" i="5"/>
  <c r="AE276" i="5"/>
  <c r="AD276" i="5"/>
  <c r="AC10" i="5"/>
  <c r="V10" i="5"/>
  <c r="U10" i="5"/>
  <c r="AS550" i="5"/>
  <c r="AE550" i="5"/>
  <c r="AD550" i="5"/>
  <c r="AS499" i="5"/>
  <c r="AE499" i="5"/>
  <c r="AD499" i="5"/>
  <c r="AS395" i="5"/>
  <c r="AE395" i="5"/>
  <c r="AD395" i="5"/>
  <c r="AS366" i="5"/>
  <c r="AD366" i="5"/>
  <c r="AE366" i="5"/>
  <c r="AS370" i="5"/>
  <c r="AD370" i="5"/>
  <c r="AE370" i="5"/>
  <c r="AS251" i="5"/>
  <c r="AE251" i="5"/>
  <c r="AD251" i="5"/>
  <c r="AD140" i="5"/>
  <c r="AE140" i="5"/>
  <c r="AS140" i="5"/>
  <c r="AD83" i="5"/>
  <c r="AS83" i="5"/>
  <c r="AE83" i="5"/>
  <c r="AS470" i="5"/>
  <c r="AE470" i="5"/>
  <c r="AD470" i="5"/>
  <c r="AS229" i="5"/>
  <c r="AE229" i="5"/>
  <c r="AD229" i="5"/>
  <c r="AS248" i="5"/>
  <c r="AE248" i="5"/>
  <c r="AD248" i="5"/>
  <c r="AE31" i="5"/>
  <c r="AD31" i="5"/>
  <c r="AS31" i="5"/>
  <c r="AS372" i="5"/>
  <c r="AE372" i="5"/>
  <c r="AD372" i="5"/>
  <c r="AD383" i="5"/>
  <c r="AS383" i="5"/>
  <c r="AE383" i="5"/>
  <c r="AD287" i="5"/>
  <c r="AS287" i="5"/>
  <c r="AE287" i="5"/>
  <c r="AD228" i="5"/>
  <c r="AE228" i="5"/>
  <c r="AS228" i="5"/>
  <c r="AS376" i="5"/>
  <c r="AE376" i="5"/>
  <c r="AD376" i="5"/>
  <c r="AS422" i="5"/>
  <c r="AE422" i="5"/>
  <c r="AD422" i="5"/>
  <c r="AS280" i="5"/>
  <c r="AD280" i="5"/>
  <c r="AE280" i="5"/>
  <c r="AD273" i="5"/>
  <c r="AE273" i="5"/>
  <c r="AS273" i="5"/>
  <c r="AS27" i="5"/>
  <c r="AE27" i="5"/>
  <c r="AD27" i="5"/>
  <c r="AE549" i="5"/>
  <c r="AD549" i="5"/>
  <c r="AS549" i="5"/>
  <c r="AD45" i="5"/>
  <c r="AS45" i="5"/>
  <c r="AE45" i="5"/>
  <c r="AS225" i="5"/>
  <c r="AE225" i="5"/>
  <c r="AD225" i="5"/>
  <c r="AS243" i="5"/>
  <c r="AD243" i="5"/>
  <c r="AE243" i="5"/>
  <c r="AE51" i="5"/>
  <c r="AD51" i="5"/>
  <c r="AS51" i="5"/>
  <c r="AS535" i="5"/>
  <c r="AE535" i="5"/>
  <c r="AD535" i="5"/>
  <c r="AS143" i="5"/>
  <c r="AE143" i="5"/>
  <c r="AD143" i="5"/>
  <c r="AS73" i="5"/>
  <c r="AE73" i="5"/>
  <c r="AD73" i="5"/>
  <c r="AS13" i="5"/>
  <c r="AE13" i="5"/>
  <c r="AD13" i="5"/>
  <c r="AE213" i="5"/>
  <c r="AD213" i="5"/>
  <c r="AS213" i="5"/>
  <c r="AS326" i="5"/>
  <c r="AE326" i="5"/>
  <c r="AD326" i="5"/>
  <c r="AS48" i="5"/>
  <c r="AE48" i="5"/>
  <c r="AD48" i="5"/>
  <c r="AS373" i="5"/>
  <c r="AE373" i="5"/>
  <c r="AD373" i="5"/>
  <c r="AD237" i="5"/>
  <c r="AS237" i="5"/>
  <c r="AE237" i="5"/>
  <c r="AS99" i="5"/>
  <c r="AE99" i="5"/>
  <c r="AD99" i="5"/>
  <c r="AD492" i="5"/>
  <c r="AS492" i="5"/>
  <c r="AE492" i="5"/>
  <c r="AS413" i="5"/>
  <c r="AD413" i="5"/>
  <c r="AE413" i="5"/>
  <c r="AS352" i="5"/>
  <c r="AE352" i="5"/>
  <c r="AD352" i="5"/>
  <c r="AE253" i="5"/>
  <c r="AD253" i="5"/>
  <c r="AS253" i="5"/>
  <c r="AE162" i="5"/>
  <c r="AS162" i="5"/>
  <c r="AD162" i="5"/>
  <c r="AE200" i="5"/>
  <c r="AS200" i="5"/>
  <c r="AD200" i="5"/>
  <c r="AD490" i="5"/>
  <c r="AS490" i="5"/>
  <c r="AE490" i="5"/>
  <c r="AS335" i="5"/>
  <c r="AD335" i="5"/>
  <c r="AE335" i="5"/>
  <c r="AE249" i="5"/>
  <c r="AD249" i="5"/>
  <c r="AS249" i="5"/>
  <c r="AE264" i="5"/>
  <c r="AS264" i="5"/>
  <c r="AD264" i="5"/>
  <c r="AD59" i="5"/>
  <c r="AS59" i="5"/>
  <c r="AE59" i="5"/>
  <c r="AE26" i="5"/>
  <c r="AD26" i="5"/>
  <c r="AS26" i="5"/>
  <c r="AS487" i="5"/>
  <c r="AD487" i="5"/>
  <c r="AE487" i="5"/>
  <c r="AS474" i="5"/>
  <c r="AE474" i="5"/>
  <c r="AD474" i="5"/>
  <c r="AD449" i="5"/>
  <c r="AS449" i="5"/>
  <c r="AE449" i="5"/>
  <c r="AE130" i="5"/>
  <c r="AS130" i="5"/>
  <c r="AD130" i="5"/>
  <c r="AD155" i="5"/>
  <c r="AS155" i="5"/>
  <c r="AE155" i="5"/>
  <c r="AS72" i="5"/>
  <c r="AE72" i="5"/>
  <c r="AD72" i="5"/>
  <c r="AE312" i="5"/>
  <c r="AS312" i="5"/>
  <c r="AD312" i="5"/>
  <c r="AE201" i="5"/>
  <c r="AD201" i="5"/>
  <c r="AS201" i="5"/>
  <c r="AE60" i="5"/>
  <c r="AS60" i="5"/>
  <c r="AD60" i="5"/>
  <c r="AS39" i="5"/>
  <c r="AE39" i="5"/>
  <c r="AD39" i="5"/>
  <c r="AS198" i="5"/>
  <c r="AE198" i="5"/>
  <c r="AD198" i="5"/>
  <c r="AE482" i="5"/>
  <c r="AS482" i="5"/>
  <c r="AD482" i="5"/>
  <c r="AS463" i="5"/>
  <c r="AE463" i="5"/>
  <c r="AD463" i="5"/>
  <c r="AD412" i="5"/>
  <c r="AS412" i="5"/>
  <c r="AE412" i="5"/>
  <c r="AS356" i="5"/>
  <c r="AE356" i="5"/>
  <c r="AD356" i="5"/>
  <c r="AS274" i="5"/>
  <c r="AE274" i="5"/>
  <c r="AD274" i="5"/>
  <c r="AS263" i="5"/>
  <c r="AE263" i="5"/>
  <c r="AD263" i="5"/>
  <c r="AS126" i="5"/>
  <c r="AD126" i="5"/>
  <c r="AE126" i="5"/>
  <c r="AS101" i="5"/>
  <c r="AE101" i="5"/>
  <c r="AD101" i="5"/>
  <c r="AS555" i="5"/>
  <c r="AE555" i="5"/>
  <c r="AD555" i="5"/>
  <c r="AS387" i="5"/>
  <c r="AE387" i="5"/>
  <c r="AD387" i="5"/>
  <c r="AD351" i="5"/>
  <c r="AS351" i="5"/>
  <c r="AE351" i="5"/>
  <c r="AD242" i="5"/>
  <c r="AS242" i="5"/>
  <c r="AE242" i="5"/>
  <c r="AS47" i="5"/>
  <c r="AE47" i="5"/>
  <c r="AD47" i="5"/>
  <c r="AS547" i="5"/>
  <c r="AE547" i="5"/>
  <c r="AD547" i="5"/>
  <c r="AS68" i="5"/>
  <c r="AE68" i="5"/>
  <c r="AD68" i="5"/>
  <c r="AE87" i="5"/>
  <c r="AS87" i="5"/>
  <c r="AD87" i="5"/>
  <c r="AS532" i="5"/>
  <c r="AE532" i="5"/>
  <c r="AD532" i="5"/>
  <c r="AS167" i="5"/>
  <c r="AD167" i="5"/>
  <c r="AE167" i="5"/>
  <c r="AE110" i="5"/>
  <c r="AS110" i="5"/>
  <c r="AD110" i="5"/>
  <c r="AS222" i="5"/>
  <c r="AE222" i="5"/>
  <c r="AD222" i="5"/>
  <c r="AE94" i="5"/>
  <c r="AD94" i="5"/>
  <c r="AS94" i="5"/>
  <c r="AS141" i="5"/>
  <c r="AD141" i="5"/>
  <c r="AE141" i="5"/>
  <c r="AS443" i="5"/>
  <c r="AE443" i="5"/>
  <c r="AD443" i="5"/>
  <c r="AS374" i="5"/>
  <c r="AE374" i="5"/>
  <c r="AD374" i="5"/>
  <c r="AS560" i="5"/>
  <c r="AE560" i="5"/>
  <c r="AD560" i="5"/>
  <c r="AS402" i="5"/>
  <c r="AE402" i="5"/>
  <c r="AD402" i="5"/>
  <c r="AS462" i="5"/>
  <c r="AE462" i="5"/>
  <c r="AD462" i="5"/>
  <c r="AS210" i="5"/>
  <c r="AE210" i="5"/>
  <c r="AD210" i="5"/>
  <c r="AS37" i="5"/>
  <c r="AE37" i="5"/>
  <c r="AD37" i="5"/>
  <c r="AS65" i="5"/>
  <c r="AE65" i="5"/>
  <c r="AD65" i="5"/>
  <c r="AS531" i="5"/>
  <c r="AE531" i="5"/>
  <c r="AD531" i="5"/>
  <c r="AS505" i="5"/>
  <c r="AE505" i="5"/>
  <c r="AD505" i="5"/>
  <c r="AS450" i="5"/>
  <c r="AE450" i="5"/>
  <c r="AD450" i="5"/>
  <c r="AS381" i="5"/>
  <c r="AE381" i="5"/>
  <c r="AD381" i="5"/>
  <c r="AS345" i="5"/>
  <c r="AE345" i="5"/>
  <c r="AD345" i="5"/>
  <c r="AS323" i="5"/>
  <c r="AD323" i="5"/>
  <c r="AE323" i="5"/>
  <c r="AS244" i="5"/>
  <c r="AE244" i="5"/>
  <c r="AD244" i="5"/>
  <c r="AS187" i="5"/>
  <c r="AE187" i="5"/>
  <c r="AD187" i="5"/>
  <c r="AE142" i="5"/>
  <c r="AS142" i="5"/>
  <c r="AD142" i="5"/>
  <c r="AE104" i="5"/>
  <c r="AD104" i="5"/>
  <c r="AS104" i="5"/>
  <c r="AS23" i="5"/>
  <c r="AE23" i="5"/>
  <c r="AD23" i="5"/>
  <c r="AS44" i="5"/>
  <c r="AD44" i="5"/>
  <c r="AE44" i="5"/>
  <c r="AE138" i="5"/>
  <c r="AS138" i="5"/>
  <c r="AD138" i="5"/>
  <c r="AE178" i="5"/>
  <c r="AD178" i="5"/>
  <c r="AS178" i="5"/>
  <c r="AD379" i="5"/>
  <c r="AS379" i="5"/>
  <c r="AE379" i="5"/>
  <c r="AE188" i="5"/>
  <c r="AS188" i="5"/>
  <c r="AD188" i="5"/>
  <c r="AE114" i="5"/>
  <c r="AD114" i="5"/>
  <c r="AS114" i="5"/>
  <c r="AD151" i="5"/>
  <c r="AS151" i="5"/>
  <c r="AE151" i="5"/>
  <c r="AD420" i="5"/>
  <c r="AE420" i="5"/>
  <c r="AS420" i="5"/>
  <c r="AE184" i="5"/>
  <c r="AS184" i="5"/>
  <c r="AD184" i="5"/>
  <c r="AE21" i="5"/>
  <c r="AD21" i="5"/>
  <c r="AS21" i="5"/>
  <c r="AS362" i="5"/>
  <c r="AD362" i="5"/>
  <c r="AE362" i="5"/>
  <c r="AS19" i="5"/>
  <c r="AE19" i="5"/>
  <c r="AD19" i="5"/>
  <c r="AS491" i="5"/>
  <c r="AE491" i="5"/>
  <c r="AD491" i="5"/>
  <c r="AS435" i="5"/>
  <c r="AE435" i="5"/>
  <c r="AD435" i="5"/>
  <c r="AS84" i="5"/>
  <c r="AE84" i="5"/>
  <c r="AD84" i="5"/>
  <c r="AS364" i="5"/>
  <c r="AE364" i="5"/>
  <c r="AD364" i="5"/>
  <c r="AS551" i="5"/>
  <c r="AE551" i="5"/>
  <c r="AD551" i="5"/>
  <c r="AS544" i="5"/>
  <c r="AE544" i="5"/>
  <c r="AD544" i="5"/>
  <c r="AE472" i="5"/>
  <c r="AS472" i="5"/>
  <c r="AD472" i="5"/>
  <c r="AD343" i="5"/>
  <c r="AS343" i="5"/>
  <c r="AE343" i="5"/>
  <c r="AS311" i="5"/>
  <c r="AD311" i="5"/>
  <c r="AE311" i="5"/>
  <c r="AD88" i="5"/>
  <c r="AS88" i="5"/>
  <c r="AE88" i="5"/>
  <c r="AS42" i="5"/>
  <c r="AE42" i="5"/>
  <c r="AD42" i="5"/>
  <c r="AS304" i="5"/>
  <c r="AE304" i="5"/>
  <c r="AD304" i="5"/>
  <c r="AE545" i="5"/>
  <c r="AD545" i="5"/>
  <c r="AS545" i="5"/>
  <c r="AS471" i="5"/>
  <c r="AE471" i="5"/>
  <c r="AD471" i="5"/>
  <c r="AS454" i="5"/>
  <c r="AE454" i="5"/>
  <c r="AD454" i="5"/>
  <c r="AD347" i="5"/>
  <c r="AS347" i="5"/>
  <c r="AE347" i="5"/>
  <c r="AS234" i="5"/>
  <c r="AE234" i="5"/>
  <c r="AD234" i="5"/>
  <c r="AS219" i="5"/>
  <c r="AE219" i="5"/>
  <c r="AD219" i="5"/>
  <c r="AS66" i="5"/>
  <c r="AE66" i="5"/>
  <c r="AD66" i="5"/>
  <c r="AS77" i="5"/>
  <c r="AE77" i="5"/>
  <c r="AD77" i="5"/>
  <c r="AS89" i="5"/>
  <c r="AE89" i="5"/>
  <c r="AD89" i="5"/>
  <c r="AD103" i="5"/>
  <c r="AE103" i="5"/>
  <c r="AS103" i="5"/>
  <c r="AS478" i="5"/>
  <c r="AE478" i="5"/>
  <c r="AD478" i="5"/>
  <c r="AE90" i="5"/>
  <c r="AD90" i="5"/>
  <c r="AS90" i="5"/>
  <c r="AE146" i="5"/>
  <c r="AD146" i="5"/>
  <c r="AS146" i="5"/>
  <c r="AD164" i="5"/>
  <c r="AS164" i="5"/>
  <c r="AE164" i="5"/>
  <c r="AE529" i="5"/>
  <c r="AD529" i="5"/>
  <c r="AS529" i="5"/>
  <c r="AS218" i="5"/>
  <c r="AE218" i="5"/>
  <c r="AD218" i="5"/>
  <c r="AS446" i="5"/>
  <c r="AE446" i="5"/>
  <c r="AD446" i="5"/>
  <c r="AD156" i="5"/>
  <c r="AE156" i="5"/>
  <c r="AS156" i="5"/>
  <c r="AS415" i="5"/>
  <c r="AE415" i="5"/>
  <c r="AD415" i="5"/>
  <c r="AE41" i="5"/>
  <c r="AD41" i="5"/>
  <c r="AS41" i="5"/>
  <c r="AS509" i="5"/>
  <c r="AE509" i="5"/>
  <c r="AD509" i="5"/>
  <c r="AS401" i="5"/>
  <c r="AD401" i="5"/>
  <c r="AE401" i="5"/>
  <c r="AD396" i="5"/>
  <c r="AS396" i="5"/>
  <c r="AE396" i="5"/>
  <c r="AS271" i="5"/>
  <c r="AE271" i="5"/>
  <c r="AD271" i="5"/>
  <c r="AS235" i="5"/>
  <c r="AE235" i="5"/>
  <c r="AD235" i="5"/>
  <c r="AS119" i="5"/>
  <c r="AD119" i="5"/>
  <c r="AE119" i="5"/>
  <c r="AS74" i="5"/>
  <c r="AE74" i="5"/>
  <c r="AD74" i="5"/>
  <c r="AD75" i="5"/>
  <c r="AS75" i="5"/>
  <c r="AE75" i="5"/>
  <c r="AS538" i="5"/>
  <c r="AE538" i="5"/>
  <c r="AD538" i="5"/>
  <c r="AS322" i="5"/>
  <c r="AD322" i="5"/>
  <c r="AE322" i="5"/>
  <c r="AD289" i="5"/>
  <c r="AS289" i="5"/>
  <c r="AE289" i="5"/>
  <c r="AD197" i="5"/>
  <c r="AE197" i="5"/>
  <c r="AS197" i="5"/>
  <c r="AE177" i="5"/>
  <c r="AS177" i="5"/>
  <c r="AD177" i="5"/>
  <c r="AS33" i="5"/>
  <c r="AE33" i="5"/>
  <c r="AD33" i="5"/>
  <c r="AS556" i="5"/>
  <c r="AE556" i="5"/>
  <c r="AD556" i="5"/>
  <c r="AS493" i="5"/>
  <c r="AE493" i="5"/>
  <c r="AD493" i="5"/>
  <c r="AE444" i="5"/>
  <c r="AS444" i="5"/>
  <c r="AD444" i="5"/>
  <c r="AS369" i="5"/>
  <c r="AE369" i="5"/>
  <c r="AD369" i="5"/>
  <c r="AD363" i="5"/>
  <c r="AS363" i="5"/>
  <c r="AE363" i="5"/>
  <c r="AD291" i="5"/>
  <c r="AS291" i="5"/>
  <c r="AE291" i="5"/>
  <c r="AS181" i="5"/>
  <c r="AE181" i="5"/>
  <c r="AD181" i="5"/>
  <c r="AS97" i="5"/>
  <c r="AD97" i="5"/>
  <c r="AE97" i="5"/>
  <c r="AS552" i="5"/>
  <c r="AE552" i="5"/>
  <c r="AD552" i="5"/>
  <c r="AS489" i="5"/>
  <c r="AE489" i="5"/>
  <c r="AD489" i="5"/>
  <c r="AS442" i="5"/>
  <c r="AE442" i="5"/>
  <c r="AD442" i="5"/>
  <c r="AS365" i="5"/>
  <c r="AE365" i="5"/>
  <c r="AD365" i="5"/>
  <c r="AS357" i="5"/>
  <c r="AD357" i="5"/>
  <c r="AE357" i="5"/>
  <c r="AS284" i="5"/>
  <c r="AE284" i="5"/>
  <c r="AD284" i="5"/>
  <c r="AS125" i="5"/>
  <c r="AE125" i="5"/>
  <c r="AD125" i="5"/>
  <c r="AS85" i="5"/>
  <c r="AE85" i="5"/>
  <c r="AD85" i="5"/>
  <c r="AS149" i="5"/>
  <c r="AE149" i="5"/>
  <c r="AD149" i="5"/>
  <c r="AE170" i="5"/>
  <c r="AS170" i="5"/>
  <c r="AD170" i="5"/>
  <c r="AD502" i="5"/>
  <c r="AS502" i="5"/>
  <c r="AE502" i="5"/>
  <c r="AD224" i="5"/>
  <c r="AE224" i="5"/>
  <c r="AS224" i="5"/>
  <c r="AE53" i="5"/>
  <c r="AS53" i="5"/>
  <c r="AD53" i="5"/>
  <c r="AS331" i="5"/>
  <c r="AD331" i="5"/>
  <c r="AE331" i="5"/>
  <c r="AE172" i="5"/>
  <c r="AD172" i="5"/>
  <c r="AS172" i="5"/>
  <c r="AS175" i="5"/>
  <c r="AE175" i="5"/>
  <c r="AD175" i="5"/>
  <c r="AE102" i="5"/>
  <c r="AS102" i="5"/>
  <c r="AD102" i="5"/>
  <c r="AD473" i="5"/>
  <c r="AS473" i="5"/>
  <c r="AE473" i="5"/>
  <c r="AS233" i="5"/>
  <c r="AE233" i="5"/>
  <c r="AD233" i="5"/>
  <c r="AD313" i="5"/>
  <c r="AS313" i="5"/>
  <c r="AE313" i="5"/>
  <c r="AS157" i="5"/>
  <c r="AE157" i="5"/>
  <c r="AD157" i="5"/>
  <c r="AR12" i="5" l="1"/>
  <c r="AS12" i="5"/>
  <c r="AU7" i="5"/>
  <c r="AT7" i="5"/>
  <c r="AU401" i="5"/>
  <c r="AT401" i="5"/>
  <c r="AT345" i="5"/>
  <c r="AU345" i="5"/>
  <c r="AT422" i="5"/>
  <c r="AU422" i="5"/>
  <c r="AU259" i="5"/>
  <c r="AT259" i="5"/>
  <c r="AU170" i="5"/>
  <c r="AT170" i="5"/>
  <c r="AT130" i="5"/>
  <c r="AU130" i="5"/>
  <c r="AT313" i="5"/>
  <c r="AU313" i="5"/>
  <c r="AT164" i="5"/>
  <c r="AU164" i="5"/>
  <c r="AT88" i="5"/>
  <c r="AU88" i="5"/>
  <c r="AU138" i="5"/>
  <c r="AT138" i="5"/>
  <c r="AT142" i="5"/>
  <c r="AU142" i="5"/>
  <c r="AU110" i="5"/>
  <c r="AT110" i="5"/>
  <c r="AU351" i="5"/>
  <c r="AT351" i="5"/>
  <c r="AU412" i="5"/>
  <c r="AT412" i="5"/>
  <c r="AT264" i="5"/>
  <c r="AU264" i="5"/>
  <c r="AT200" i="5"/>
  <c r="AU200" i="5"/>
  <c r="AU383" i="5"/>
  <c r="AT383" i="5"/>
  <c r="AU460" i="5"/>
  <c r="AT460" i="5"/>
  <c r="AU28" i="5"/>
  <c r="AT28" i="5"/>
  <c r="AT511" i="5"/>
  <c r="AU511" i="5"/>
  <c r="AU378" i="5"/>
  <c r="AT378" i="5"/>
  <c r="AT426" i="5"/>
  <c r="AU426" i="5"/>
  <c r="AU548" i="5"/>
  <c r="AT548" i="5"/>
  <c r="AT325" i="5"/>
  <c r="AU325" i="5"/>
  <c r="AU275" i="5"/>
  <c r="AT275" i="5"/>
  <c r="AT541" i="5"/>
  <c r="AU541" i="5"/>
  <c r="AT96" i="5"/>
  <c r="AU96" i="5"/>
  <c r="AU262" i="5"/>
  <c r="AT262" i="5"/>
  <c r="AT211" i="5"/>
  <c r="AU211" i="5"/>
  <c r="AU536" i="5"/>
  <c r="AT536" i="5"/>
  <c r="AU129" i="5"/>
  <c r="AT129" i="5"/>
  <c r="AU303" i="5"/>
  <c r="AT303" i="5"/>
  <c r="AU501" i="5"/>
  <c r="AT501" i="5"/>
  <c r="AU132" i="5"/>
  <c r="AT132" i="5"/>
  <c r="AU57" i="5"/>
  <c r="AT57" i="5"/>
  <c r="AU328" i="5"/>
  <c r="AT328" i="5"/>
  <c r="AT147" i="5"/>
  <c r="AU147" i="5"/>
  <c r="AT52" i="5"/>
  <c r="AU52" i="5"/>
  <c r="AR10" i="5"/>
  <c r="AQ10" i="5"/>
  <c r="AU282" i="5"/>
  <c r="AT282" i="5"/>
  <c r="AU231" i="5"/>
  <c r="AT231" i="5"/>
  <c r="AT22" i="5"/>
  <c r="AU22" i="5"/>
  <c r="AT407" i="5"/>
  <c r="AU407" i="5"/>
  <c r="AU417" i="5"/>
  <c r="AT417" i="5"/>
  <c r="AT435" i="5"/>
  <c r="AU435" i="5"/>
  <c r="AU474" i="5"/>
  <c r="AT474" i="5"/>
  <c r="AT399" i="5"/>
  <c r="AU399" i="5"/>
  <c r="AU375" i="5"/>
  <c r="AT375" i="5"/>
  <c r="AU310" i="5"/>
  <c r="AT310" i="5"/>
  <c r="AT50" i="5"/>
  <c r="AU50" i="5"/>
  <c r="AU172" i="5"/>
  <c r="AT172" i="5"/>
  <c r="AT545" i="5"/>
  <c r="AU545" i="5"/>
  <c r="AU249" i="5"/>
  <c r="AT249" i="5"/>
  <c r="AU152" i="5"/>
  <c r="AT152" i="5"/>
  <c r="AU332" i="5"/>
  <c r="AT332" i="5"/>
  <c r="AU136" i="5"/>
  <c r="AT136" i="5"/>
  <c r="AU452" i="5"/>
  <c r="AT452" i="5"/>
  <c r="AU306" i="5"/>
  <c r="AT306" i="5"/>
  <c r="AT61" i="5"/>
  <c r="AU61" i="5"/>
  <c r="AU338" i="5"/>
  <c r="AT338" i="5"/>
  <c r="AT220" i="5"/>
  <c r="AU220" i="5"/>
  <c r="AT36" i="5"/>
  <c r="AU36" i="5"/>
  <c r="AU281" i="5"/>
  <c r="AT281" i="5"/>
  <c r="AT517" i="5"/>
  <c r="AU517" i="5"/>
  <c r="AU429" i="5"/>
  <c r="AT429" i="5"/>
  <c r="AU29" i="5"/>
  <c r="AT29" i="5"/>
  <c r="AU165" i="5"/>
  <c r="AT165" i="5"/>
  <c r="AU495" i="5"/>
  <c r="AT495" i="5"/>
  <c r="AU166" i="5"/>
  <c r="AT166" i="5"/>
  <c r="AU223" i="5"/>
  <c r="AT223" i="5"/>
  <c r="AU358" i="5"/>
  <c r="AT358" i="5"/>
  <c r="AU112" i="5"/>
  <c r="AT112" i="5"/>
  <c r="AU514" i="5"/>
  <c r="AT514" i="5"/>
  <c r="AT139" i="5"/>
  <c r="AU139" i="5"/>
  <c r="AU416" i="5"/>
  <c r="AT416" i="5"/>
  <c r="AT475" i="5"/>
  <c r="AU475" i="5"/>
  <c r="AT179" i="5"/>
  <c r="AU179" i="5"/>
  <c r="AT203" i="5"/>
  <c r="AU203" i="5"/>
  <c r="AT427" i="5"/>
  <c r="AU427" i="5"/>
  <c r="AU161" i="5"/>
  <c r="AT161" i="5"/>
  <c r="AU418" i="5"/>
  <c r="AT418" i="5"/>
  <c r="AT221" i="5"/>
  <c r="AU221" i="5"/>
  <c r="AT217" i="5"/>
  <c r="AU217" i="5"/>
  <c r="AU252" i="5"/>
  <c r="AT252" i="5"/>
  <c r="AU497" i="5"/>
  <c r="AT497" i="5"/>
  <c r="AU119" i="5"/>
  <c r="AT119" i="5"/>
  <c r="AU68" i="5"/>
  <c r="AT68" i="5"/>
  <c r="AT183" i="5"/>
  <c r="AU183" i="5"/>
  <c r="AU239" i="5"/>
  <c r="AT239" i="5"/>
  <c r="AT459" i="5"/>
  <c r="AU459" i="5"/>
  <c r="AU58" i="5"/>
  <c r="AT58" i="5"/>
  <c r="AT483" i="5"/>
  <c r="AU483" i="5"/>
  <c r="AU146" i="5"/>
  <c r="AT146" i="5"/>
  <c r="AT502" i="5"/>
  <c r="AU502" i="5"/>
  <c r="AU444" i="5"/>
  <c r="AT444" i="5"/>
  <c r="AT177" i="5"/>
  <c r="AU177" i="5"/>
  <c r="AU184" i="5"/>
  <c r="AT184" i="5"/>
  <c r="AU188" i="5"/>
  <c r="AT188" i="5"/>
  <c r="AT60" i="5"/>
  <c r="AU60" i="5"/>
  <c r="AU155" i="5"/>
  <c r="AT155" i="5"/>
  <c r="AT162" i="5"/>
  <c r="AU162" i="5"/>
  <c r="AT492" i="5"/>
  <c r="AU492" i="5"/>
  <c r="AU424" i="5"/>
  <c r="AT424" i="5"/>
  <c r="AU464" i="5"/>
  <c r="AT464" i="5"/>
  <c r="AT465" i="5"/>
  <c r="AU465" i="5"/>
  <c r="AT441" i="5"/>
  <c r="AU441" i="5"/>
  <c r="AU434" i="5"/>
  <c r="AT434" i="5"/>
  <c r="AT430" i="5"/>
  <c r="AU430" i="5"/>
  <c r="AU8" i="5"/>
  <c r="AT8" i="5"/>
  <c r="AU80" i="5"/>
  <c r="AT80" i="5"/>
  <c r="AT361" i="5"/>
  <c r="AU361" i="5"/>
  <c r="AU390" i="5"/>
  <c r="AT390" i="5"/>
  <c r="AT70" i="5"/>
  <c r="AU70" i="5"/>
  <c r="AT106" i="5"/>
  <c r="AU106" i="5"/>
  <c r="AU180" i="5"/>
  <c r="AT180" i="5"/>
  <c r="AU227" i="5"/>
  <c r="AT227" i="5"/>
  <c r="AU528" i="5"/>
  <c r="AT528" i="5"/>
  <c r="AT135" i="5"/>
  <c r="AU135" i="5"/>
  <c r="AU341" i="5"/>
  <c r="AT341" i="5"/>
  <c r="AT527" i="5"/>
  <c r="AU527" i="5"/>
  <c r="AU382" i="5"/>
  <c r="AT382" i="5"/>
  <c r="AT340" i="5"/>
  <c r="AU340" i="5"/>
  <c r="AU55" i="5"/>
  <c r="AT55" i="5"/>
  <c r="AT268" i="5"/>
  <c r="AU268" i="5"/>
  <c r="AU118" i="5"/>
  <c r="AT118" i="5"/>
  <c r="AT105" i="5"/>
  <c r="AU105" i="5"/>
  <c r="AT334" i="5"/>
  <c r="AU334" i="5"/>
  <c r="AT507" i="5"/>
  <c r="AU507" i="5"/>
  <c r="AU124" i="5"/>
  <c r="AT124" i="5"/>
  <c r="AU553" i="5"/>
  <c r="AT553" i="5"/>
  <c r="AU128" i="5"/>
  <c r="AT128" i="5"/>
  <c r="AT192" i="5"/>
  <c r="AU192" i="5"/>
  <c r="AT451" i="5"/>
  <c r="AU451" i="5"/>
  <c r="AU386" i="5"/>
  <c r="AT386" i="5"/>
  <c r="AU406" i="5"/>
  <c r="AT406" i="5"/>
  <c r="AU314" i="5"/>
  <c r="AT314" i="5"/>
  <c r="AU145" i="5"/>
  <c r="AT145" i="5"/>
  <c r="AT69" i="5"/>
  <c r="AU69" i="5"/>
  <c r="AU300" i="5"/>
  <c r="AT300" i="5"/>
  <c r="AT202" i="5"/>
  <c r="AU202" i="5"/>
  <c r="AT522" i="5"/>
  <c r="AU522" i="5"/>
  <c r="AU466" i="5"/>
  <c r="AT466" i="5"/>
  <c r="AU236" i="5"/>
  <c r="AT236" i="5"/>
  <c r="AT321" i="5"/>
  <c r="AU321" i="5"/>
  <c r="AU333" i="5"/>
  <c r="AT333" i="5"/>
  <c r="AT369" i="5"/>
  <c r="AU369" i="5"/>
  <c r="AU462" i="5"/>
  <c r="AT462" i="5"/>
  <c r="AT368" i="5"/>
  <c r="AU368" i="5"/>
  <c r="AT500" i="5"/>
  <c r="AU500" i="5"/>
  <c r="AU148" i="5"/>
  <c r="AT148" i="5"/>
  <c r="AT504" i="5"/>
  <c r="AU504" i="5"/>
  <c r="AU125" i="5"/>
  <c r="AT125" i="5"/>
  <c r="AT181" i="5"/>
  <c r="AU181" i="5"/>
  <c r="AT538" i="5"/>
  <c r="AU538" i="5"/>
  <c r="AU235" i="5"/>
  <c r="AT235" i="5"/>
  <c r="AT509" i="5"/>
  <c r="AU509" i="5"/>
  <c r="AU446" i="5"/>
  <c r="AT446" i="5"/>
  <c r="AT89" i="5"/>
  <c r="AU89" i="5"/>
  <c r="AU234" i="5"/>
  <c r="AT234" i="5"/>
  <c r="AU311" i="5"/>
  <c r="AT311" i="5"/>
  <c r="AU551" i="5"/>
  <c r="AT551" i="5"/>
  <c r="AU491" i="5"/>
  <c r="AT491" i="5"/>
  <c r="AU44" i="5"/>
  <c r="AT44" i="5"/>
  <c r="AT187" i="5"/>
  <c r="AU187" i="5"/>
  <c r="AU381" i="5"/>
  <c r="AT381" i="5"/>
  <c r="AT65" i="5"/>
  <c r="AU65" i="5"/>
  <c r="AU402" i="5"/>
  <c r="AT402" i="5"/>
  <c r="AU141" i="5"/>
  <c r="AT141" i="5"/>
  <c r="AU167" i="5"/>
  <c r="AT167" i="5"/>
  <c r="AU547" i="5"/>
  <c r="AT547" i="5"/>
  <c r="AT387" i="5"/>
  <c r="AU387" i="5"/>
  <c r="AU263" i="5"/>
  <c r="AT263" i="5"/>
  <c r="AT463" i="5"/>
  <c r="AU463" i="5"/>
  <c r="AU487" i="5"/>
  <c r="AT487" i="5"/>
  <c r="AU48" i="5"/>
  <c r="AT48" i="5"/>
  <c r="AT73" i="5"/>
  <c r="AU73" i="5"/>
  <c r="AU243" i="5"/>
  <c r="AT243" i="5"/>
  <c r="AU27" i="5"/>
  <c r="AT27" i="5"/>
  <c r="AT376" i="5"/>
  <c r="AU376" i="5"/>
  <c r="AT372" i="5"/>
  <c r="AU372" i="5"/>
  <c r="AU470" i="5"/>
  <c r="AT470" i="5"/>
  <c r="AU370" i="5"/>
  <c r="AT370" i="5"/>
  <c r="AT550" i="5"/>
  <c r="AU550" i="5"/>
  <c r="AU296" i="5"/>
  <c r="AT296" i="5"/>
  <c r="AU133" i="5"/>
  <c r="AT133" i="5"/>
  <c r="AT524" i="5"/>
  <c r="AU524" i="5"/>
  <c r="AU285" i="5"/>
  <c r="AT285" i="5"/>
  <c r="AU186" i="5"/>
  <c r="AT186" i="5"/>
  <c r="AT295" i="5"/>
  <c r="AU295" i="5"/>
  <c r="AU308" i="5"/>
  <c r="AT308" i="5"/>
  <c r="AT62" i="5"/>
  <c r="AU62" i="5"/>
  <c r="AU288" i="5"/>
  <c r="AT288" i="5"/>
  <c r="AU479" i="5"/>
  <c r="AT479" i="5"/>
  <c r="AU350" i="5"/>
  <c r="AT350" i="5"/>
  <c r="AU320" i="5"/>
  <c r="AT320" i="5"/>
  <c r="AT431" i="5"/>
  <c r="AU431" i="5"/>
  <c r="AT537" i="5"/>
  <c r="AU537" i="5"/>
  <c r="AT508" i="5"/>
  <c r="AU508" i="5"/>
  <c r="AU394" i="5"/>
  <c r="AT394" i="5"/>
  <c r="AT518" i="5"/>
  <c r="AU518" i="5"/>
  <c r="AU256" i="5"/>
  <c r="AT256" i="5"/>
  <c r="AU557" i="5"/>
  <c r="AT557" i="5"/>
  <c r="AU254" i="5"/>
  <c r="AT254" i="5"/>
  <c r="AT267" i="5"/>
  <c r="AU267" i="5"/>
  <c r="AU219" i="5"/>
  <c r="AT219" i="5"/>
  <c r="AU39" i="5"/>
  <c r="AT39" i="5"/>
  <c r="AT229" i="5"/>
  <c r="AU229" i="5"/>
  <c r="AU116" i="5"/>
  <c r="AT116" i="5"/>
  <c r="AU34" i="5"/>
  <c r="AT34" i="5"/>
  <c r="AU71" i="5"/>
  <c r="AT71" i="5"/>
  <c r="AU159" i="5"/>
  <c r="AT159" i="5"/>
  <c r="AT233" i="5"/>
  <c r="AU233" i="5"/>
  <c r="AU442" i="5"/>
  <c r="AT442" i="5"/>
  <c r="AT197" i="5"/>
  <c r="AU197" i="5"/>
  <c r="AT41" i="5"/>
  <c r="AU41" i="5"/>
  <c r="AT90" i="5"/>
  <c r="AU90" i="5"/>
  <c r="AU420" i="5"/>
  <c r="AT420" i="5"/>
  <c r="AT94" i="5"/>
  <c r="AU94" i="5"/>
  <c r="AT201" i="5"/>
  <c r="AU201" i="5"/>
  <c r="AU26" i="5"/>
  <c r="AT26" i="5"/>
  <c r="AU253" i="5"/>
  <c r="AT253" i="5"/>
  <c r="AU273" i="5"/>
  <c r="AT273" i="5"/>
  <c r="AU228" i="5"/>
  <c r="AT228" i="5"/>
  <c r="AU31" i="5"/>
  <c r="AT31" i="5"/>
  <c r="AT204" i="5"/>
  <c r="AU204" i="5"/>
  <c r="AT521" i="5"/>
  <c r="AU521" i="5"/>
  <c r="AU400" i="5"/>
  <c r="AT400" i="5"/>
  <c r="AE11" i="5"/>
  <c r="AD11" i="5"/>
  <c r="AS11" i="5"/>
  <c r="AT480" i="5"/>
  <c r="AU480" i="5"/>
  <c r="AU440" i="5"/>
  <c r="AT440" i="5"/>
  <c r="AU316" i="5"/>
  <c r="AT316" i="5"/>
  <c r="AU163" i="5"/>
  <c r="AT163" i="5"/>
  <c r="AU425" i="5"/>
  <c r="AT425" i="5"/>
  <c r="AU226" i="5"/>
  <c r="AT226" i="5"/>
  <c r="AT91" i="5"/>
  <c r="AU91" i="5"/>
  <c r="AU510" i="5"/>
  <c r="AT510" i="5"/>
  <c r="AT107" i="5"/>
  <c r="AU107" i="5"/>
  <c r="AU392" i="5"/>
  <c r="AT392" i="5"/>
  <c r="AU367" i="5"/>
  <c r="AT367" i="5"/>
  <c r="AU404" i="5"/>
  <c r="AT404" i="5"/>
  <c r="AU35" i="5"/>
  <c r="AT35" i="5"/>
  <c r="AU238" i="5"/>
  <c r="AT238" i="5"/>
  <c r="AU255" i="5"/>
  <c r="AT255" i="5"/>
  <c r="AT391" i="5"/>
  <c r="AU391" i="5"/>
  <c r="AT82" i="5"/>
  <c r="AU82" i="5"/>
  <c r="AR11" i="5"/>
  <c r="AQ11" i="5"/>
  <c r="AU258" i="5"/>
  <c r="AT258" i="5"/>
  <c r="AU171" i="5"/>
  <c r="AT171" i="5"/>
  <c r="AU30" i="5"/>
  <c r="AT30" i="5"/>
  <c r="AU438" i="5"/>
  <c r="AT438" i="5"/>
  <c r="AT95" i="5"/>
  <c r="AU95" i="5"/>
  <c r="AU477" i="5"/>
  <c r="AT477" i="5"/>
  <c r="AT214" i="5"/>
  <c r="AU214" i="5"/>
  <c r="AU298" i="5"/>
  <c r="AT298" i="5"/>
  <c r="AU294" i="5"/>
  <c r="AT294" i="5"/>
  <c r="AT349" i="5"/>
  <c r="AU349" i="5"/>
  <c r="AU175" i="5"/>
  <c r="AT175" i="5"/>
  <c r="AU544" i="5"/>
  <c r="AT544" i="5"/>
  <c r="AU126" i="5"/>
  <c r="AT126" i="5"/>
  <c r="AU251" i="5"/>
  <c r="AT251" i="5"/>
  <c r="AU241" i="5"/>
  <c r="AT241" i="5"/>
  <c r="AU299" i="5"/>
  <c r="AT299" i="5"/>
  <c r="AT32" i="5"/>
  <c r="AU32" i="5"/>
  <c r="AT411" i="5"/>
  <c r="AU411" i="5"/>
  <c r="AT81" i="5"/>
  <c r="AU81" i="5"/>
  <c r="AU173" i="5"/>
  <c r="AT173" i="5"/>
  <c r="AT93" i="5"/>
  <c r="AU93" i="5"/>
  <c r="AT196" i="5"/>
  <c r="AU196" i="5"/>
  <c r="AT216" i="5"/>
  <c r="AU216" i="5"/>
  <c r="AT208" i="5"/>
  <c r="AU208" i="5"/>
  <c r="AT317" i="5"/>
  <c r="AU317" i="5"/>
  <c r="AU265" i="5"/>
  <c r="AT265" i="5"/>
  <c r="AU169" i="5"/>
  <c r="AT169" i="5"/>
  <c r="AT558" i="5"/>
  <c r="AU558" i="5"/>
  <c r="AT185" i="5"/>
  <c r="AU185" i="5"/>
  <c r="AU377" i="5"/>
  <c r="AT377" i="5"/>
  <c r="AU398" i="5"/>
  <c r="AT398" i="5"/>
  <c r="AT534" i="5"/>
  <c r="AU534" i="5"/>
  <c r="AU468" i="5"/>
  <c r="AT468" i="5"/>
  <c r="AT134" i="5"/>
  <c r="AU134" i="5"/>
  <c r="AU76" i="5"/>
  <c r="AT76" i="5"/>
  <c r="AU405" i="5"/>
  <c r="AT405" i="5"/>
  <c r="AU385" i="5"/>
  <c r="AT385" i="5"/>
  <c r="AU56" i="5"/>
  <c r="AT56" i="5"/>
  <c r="AT193" i="5"/>
  <c r="AU193" i="5"/>
  <c r="AU305" i="5"/>
  <c r="AT305" i="5"/>
  <c r="AT191" i="5"/>
  <c r="AU191" i="5"/>
  <c r="AT519" i="5"/>
  <c r="AU519" i="5"/>
  <c r="AT194" i="5"/>
  <c r="AU194" i="5"/>
  <c r="AT513" i="5"/>
  <c r="AU513" i="5"/>
  <c r="AU115" i="5"/>
  <c r="AT115" i="5"/>
  <c r="AU397" i="5"/>
  <c r="AT397" i="5"/>
  <c r="AU270" i="5"/>
  <c r="AT270" i="5"/>
  <c r="AU292" i="5"/>
  <c r="AT292" i="5"/>
  <c r="AT437" i="5"/>
  <c r="AU437" i="5"/>
  <c r="AU336" i="5"/>
  <c r="AT336" i="5"/>
  <c r="AT533" i="5"/>
  <c r="AU533" i="5"/>
  <c r="AT322" i="5"/>
  <c r="AU322" i="5"/>
  <c r="AU413" i="5"/>
  <c r="AT413" i="5"/>
  <c r="AT330" i="5"/>
  <c r="AU330" i="5"/>
  <c r="AU379" i="5"/>
  <c r="AT379" i="5"/>
  <c r="AU331" i="5"/>
  <c r="AT331" i="5"/>
  <c r="AU271" i="5"/>
  <c r="AT271" i="5"/>
  <c r="AT364" i="5"/>
  <c r="AU364" i="5"/>
  <c r="AT244" i="5"/>
  <c r="AU244" i="5"/>
  <c r="AU450" i="5"/>
  <c r="AT450" i="5"/>
  <c r="AT37" i="5"/>
  <c r="AU37" i="5"/>
  <c r="AU560" i="5"/>
  <c r="AT560" i="5"/>
  <c r="AU532" i="5"/>
  <c r="AT532" i="5"/>
  <c r="AU47" i="5"/>
  <c r="AT47" i="5"/>
  <c r="AU555" i="5"/>
  <c r="AT555" i="5"/>
  <c r="AU274" i="5"/>
  <c r="AT274" i="5"/>
  <c r="AU335" i="5"/>
  <c r="AT335" i="5"/>
  <c r="AT99" i="5"/>
  <c r="AU99" i="5"/>
  <c r="AT326" i="5"/>
  <c r="AU326" i="5"/>
  <c r="AT143" i="5"/>
  <c r="AU143" i="5"/>
  <c r="AT225" i="5"/>
  <c r="AU225" i="5"/>
  <c r="AU366" i="5"/>
  <c r="AT366" i="5"/>
  <c r="AD10" i="5"/>
  <c r="AE10" i="5"/>
  <c r="AS10" i="5"/>
  <c r="AU503" i="5"/>
  <c r="AT503" i="5"/>
  <c r="AU307" i="5"/>
  <c r="AT307" i="5"/>
  <c r="AT199" i="5"/>
  <c r="AU199" i="5"/>
  <c r="AU247" i="5"/>
  <c r="AT247" i="5"/>
  <c r="AT380" i="5"/>
  <c r="AU380" i="5"/>
  <c r="AT150" i="5"/>
  <c r="AU150" i="5"/>
  <c r="AU436" i="5"/>
  <c r="AT436" i="5"/>
  <c r="AU433" i="5"/>
  <c r="AT433" i="5"/>
  <c r="AU389" i="5"/>
  <c r="AT389" i="5"/>
  <c r="AT98" i="5"/>
  <c r="AU98" i="5"/>
  <c r="AU408" i="5"/>
  <c r="AT408" i="5"/>
  <c r="AT496" i="5"/>
  <c r="AU496" i="5"/>
  <c r="AU250" i="5"/>
  <c r="AT250" i="5"/>
  <c r="AT318" i="5"/>
  <c r="AU318" i="5"/>
  <c r="AT539" i="5"/>
  <c r="AU539" i="5"/>
  <c r="AU488" i="5"/>
  <c r="AT488" i="5"/>
  <c r="AU297" i="5"/>
  <c r="AT297" i="5"/>
  <c r="AT261" i="5"/>
  <c r="AU261" i="5"/>
  <c r="AU168" i="5"/>
  <c r="AT168" i="5"/>
  <c r="AU388" i="5"/>
  <c r="AT388" i="5"/>
  <c r="AT176" i="5"/>
  <c r="AU176" i="5"/>
  <c r="AT469" i="5"/>
  <c r="AU469" i="5"/>
  <c r="AT365" i="5"/>
  <c r="AU365" i="5"/>
  <c r="AT443" i="5"/>
  <c r="AU443" i="5"/>
  <c r="AT473" i="5"/>
  <c r="AU473" i="5"/>
  <c r="AU343" i="5"/>
  <c r="AT343" i="5"/>
  <c r="AU493" i="5"/>
  <c r="AT493" i="5"/>
  <c r="AU19" i="5"/>
  <c r="AT19" i="5"/>
  <c r="AU140" i="5"/>
  <c r="AT140" i="5"/>
  <c r="AT457" i="5"/>
  <c r="AU457" i="5"/>
  <c r="AU160" i="5"/>
  <c r="AT160" i="5"/>
  <c r="AU40" i="5"/>
  <c r="AT40" i="5"/>
  <c r="AT346" i="5"/>
  <c r="AU346" i="5"/>
  <c r="AT498" i="5"/>
  <c r="AU498" i="5"/>
  <c r="AT484" i="5"/>
  <c r="AU484" i="5"/>
  <c r="AU190" i="5"/>
  <c r="AT190" i="5"/>
  <c r="AU448" i="5"/>
  <c r="AT448" i="5"/>
  <c r="AT542" i="5"/>
  <c r="AU542" i="5"/>
  <c r="AU410" i="5"/>
  <c r="AT410" i="5"/>
  <c r="AT455" i="5"/>
  <c r="AU455" i="5"/>
  <c r="AT283" i="5"/>
  <c r="AU283" i="5"/>
  <c r="AT353" i="5"/>
  <c r="AU353" i="5"/>
  <c r="AT195" i="5"/>
  <c r="AU195" i="5"/>
  <c r="AU559" i="5"/>
  <c r="AT559" i="5"/>
  <c r="AT486" i="5"/>
  <c r="AU486" i="5"/>
  <c r="AT209" i="5"/>
  <c r="AU209" i="5"/>
  <c r="AU329" i="5"/>
  <c r="AT329" i="5"/>
  <c r="AU25" i="5"/>
  <c r="AT25" i="5"/>
  <c r="AU269" i="5"/>
  <c r="AT269" i="5"/>
  <c r="AU301" i="5"/>
  <c r="AT301" i="5"/>
  <c r="AT423" i="5"/>
  <c r="AU423" i="5"/>
  <c r="AT78" i="5"/>
  <c r="AU78" i="5"/>
  <c r="AU481" i="5"/>
  <c r="AT481" i="5"/>
  <c r="AT131" i="5"/>
  <c r="AU131" i="5"/>
  <c r="AT520" i="5"/>
  <c r="AU520" i="5"/>
  <c r="AT523" i="5"/>
  <c r="AU523" i="5"/>
  <c r="AT419" i="5"/>
  <c r="AU419" i="5"/>
  <c r="AT97" i="5"/>
  <c r="AU97" i="5"/>
  <c r="AT531" i="5"/>
  <c r="AU531" i="5"/>
  <c r="AU373" i="5"/>
  <c r="AT373" i="5"/>
  <c r="AU302" i="5"/>
  <c r="AT302" i="5"/>
  <c r="AU75" i="5"/>
  <c r="AT75" i="5"/>
  <c r="AU83" i="5"/>
  <c r="AT83" i="5"/>
  <c r="AU104" i="5"/>
  <c r="AT104" i="5"/>
  <c r="AT213" i="5"/>
  <c r="AU213" i="5"/>
  <c r="AU102" i="5"/>
  <c r="AT102" i="5"/>
  <c r="AU53" i="5"/>
  <c r="AT53" i="5"/>
  <c r="AU363" i="5"/>
  <c r="AT363" i="5"/>
  <c r="AU289" i="5"/>
  <c r="AT289" i="5"/>
  <c r="AU396" i="5"/>
  <c r="AT396" i="5"/>
  <c r="AU472" i="5"/>
  <c r="AT472" i="5"/>
  <c r="AT151" i="5"/>
  <c r="AU151" i="5"/>
  <c r="AT87" i="5"/>
  <c r="AU87" i="5"/>
  <c r="AT242" i="5"/>
  <c r="AU242" i="5"/>
  <c r="AT312" i="5"/>
  <c r="AU312" i="5"/>
  <c r="AT449" i="5"/>
  <c r="AU449" i="5"/>
  <c r="AU59" i="5"/>
  <c r="AT59" i="5"/>
  <c r="AT490" i="5"/>
  <c r="AU490" i="5"/>
  <c r="AU237" i="5"/>
  <c r="AT237" i="5"/>
  <c r="AU45" i="5"/>
  <c r="AT45" i="5"/>
  <c r="AU287" i="5"/>
  <c r="AT287" i="5"/>
  <c r="AU324" i="5"/>
  <c r="AT324" i="5"/>
  <c r="AT206" i="5"/>
  <c r="AU206" i="5"/>
  <c r="AU409" i="5"/>
  <c r="AT409" i="5"/>
  <c r="AU458" i="5"/>
  <c r="AT458" i="5"/>
  <c r="AT467" i="5"/>
  <c r="AU467" i="5"/>
  <c r="AT121" i="5"/>
  <c r="AU121" i="5"/>
  <c r="AT205" i="5"/>
  <c r="AU205" i="5"/>
  <c r="AU342" i="5"/>
  <c r="AT342" i="5"/>
  <c r="AT79" i="5"/>
  <c r="AU79" i="5"/>
  <c r="AU476" i="5"/>
  <c r="AT476" i="5"/>
  <c r="AU64" i="5"/>
  <c r="AT64" i="5"/>
  <c r="AU393" i="5"/>
  <c r="AT393" i="5"/>
  <c r="AU49" i="5"/>
  <c r="AT49" i="5"/>
  <c r="AT403" i="5"/>
  <c r="AU403" i="5"/>
  <c r="AU12" i="5"/>
  <c r="AT12" i="5"/>
  <c r="AT240" i="5"/>
  <c r="AU240" i="5"/>
  <c r="AT439" i="5"/>
  <c r="AU439" i="5"/>
  <c r="AU319" i="5"/>
  <c r="AT319" i="5"/>
  <c r="AT516" i="5"/>
  <c r="AU516" i="5"/>
  <c r="AU120" i="5"/>
  <c r="AT120" i="5"/>
  <c r="AU432" i="5"/>
  <c r="AT432" i="5"/>
  <c r="AU123" i="5"/>
  <c r="AT123" i="5"/>
  <c r="AT526" i="5"/>
  <c r="AU526" i="5"/>
  <c r="AT344" i="5"/>
  <c r="AU344" i="5"/>
  <c r="AU290" i="5"/>
  <c r="AT290" i="5"/>
  <c r="AU266" i="5"/>
  <c r="AT266" i="5"/>
  <c r="AT515" i="5"/>
  <c r="AU515" i="5"/>
  <c r="AT215" i="5"/>
  <c r="AU215" i="5"/>
  <c r="AU540" i="5"/>
  <c r="AT540" i="5"/>
  <c r="AU286" i="5"/>
  <c r="AT286" i="5"/>
  <c r="AU339" i="5"/>
  <c r="AT339" i="5"/>
  <c r="AT512" i="5"/>
  <c r="AU512" i="5"/>
  <c r="AU144" i="5"/>
  <c r="AT144" i="5"/>
  <c r="AT92" i="5"/>
  <c r="AU92" i="5"/>
  <c r="AU257" i="5"/>
  <c r="AT257" i="5"/>
  <c r="AU33" i="5"/>
  <c r="AT33" i="5"/>
  <c r="AT72" i="5"/>
  <c r="AU72" i="5"/>
  <c r="AU499" i="5"/>
  <c r="AT499" i="5"/>
  <c r="AU245" i="5"/>
  <c r="AT245" i="5"/>
  <c r="AU291" i="5"/>
  <c r="AT291" i="5"/>
  <c r="AU482" i="5"/>
  <c r="AT482" i="5"/>
  <c r="AU284" i="5"/>
  <c r="AT284" i="5"/>
  <c r="AT77" i="5"/>
  <c r="AU77" i="5"/>
  <c r="AU23" i="5"/>
  <c r="AT23" i="5"/>
  <c r="AT178" i="5"/>
  <c r="AU178" i="5"/>
  <c r="AU149" i="5"/>
  <c r="AT149" i="5"/>
  <c r="AT357" i="5"/>
  <c r="AU357" i="5"/>
  <c r="AU552" i="5"/>
  <c r="AT552" i="5"/>
  <c r="AU556" i="5"/>
  <c r="AT556" i="5"/>
  <c r="AT74" i="5"/>
  <c r="AU74" i="5"/>
  <c r="AT415" i="5"/>
  <c r="AU415" i="5"/>
  <c r="AT478" i="5"/>
  <c r="AU478" i="5"/>
  <c r="AT66" i="5"/>
  <c r="AU66" i="5"/>
  <c r="AU454" i="5"/>
  <c r="AT454" i="5"/>
  <c r="AU42" i="5"/>
  <c r="AT42" i="5"/>
  <c r="AT84" i="5"/>
  <c r="AU84" i="5"/>
  <c r="AU362" i="5"/>
  <c r="AT362" i="5"/>
  <c r="AU323" i="5"/>
  <c r="AT323" i="5"/>
  <c r="AT505" i="5"/>
  <c r="AU505" i="5"/>
  <c r="AT210" i="5"/>
  <c r="AU210" i="5"/>
  <c r="AU374" i="5"/>
  <c r="AT374" i="5"/>
  <c r="AT222" i="5"/>
  <c r="AU222" i="5"/>
  <c r="AT101" i="5"/>
  <c r="AU101" i="5"/>
  <c r="AT356" i="5"/>
  <c r="AU356" i="5"/>
  <c r="AU198" i="5"/>
  <c r="AT198" i="5"/>
  <c r="AT352" i="5"/>
  <c r="AU352" i="5"/>
  <c r="AT535" i="5"/>
  <c r="AU535" i="5"/>
  <c r="AU280" i="5"/>
  <c r="AT280" i="5"/>
  <c r="AU248" i="5"/>
  <c r="AT248" i="5"/>
  <c r="AT395" i="5"/>
  <c r="AU395" i="5"/>
  <c r="AU276" i="5"/>
  <c r="AT276" i="5"/>
  <c r="AT554" i="5"/>
  <c r="AU554" i="5"/>
  <c r="AT113" i="5"/>
  <c r="AU113" i="5"/>
  <c r="AT348" i="5"/>
  <c r="AU348" i="5"/>
  <c r="AT543" i="5"/>
  <c r="AU543" i="5"/>
  <c r="AU46" i="5"/>
  <c r="AT46" i="5"/>
  <c r="AT109" i="5"/>
  <c r="AU109" i="5"/>
  <c r="AU100" i="5"/>
  <c r="AT100" i="5"/>
  <c r="AU506" i="5"/>
  <c r="AT506" i="5"/>
  <c r="AT127" i="5"/>
  <c r="AU127" i="5"/>
  <c r="AU153" i="5"/>
  <c r="AT153" i="5"/>
  <c r="AT54" i="5"/>
  <c r="AU54" i="5"/>
  <c r="AT207" i="5"/>
  <c r="AU207" i="5"/>
  <c r="AU182" i="5"/>
  <c r="AT182" i="5"/>
  <c r="AT212" i="5"/>
  <c r="AU212" i="5"/>
  <c r="AT453" i="5"/>
  <c r="AU453" i="5"/>
  <c r="AT154" i="5"/>
  <c r="AU154" i="5"/>
  <c r="AU108" i="5"/>
  <c r="AT108" i="5"/>
  <c r="AT494" i="5"/>
  <c r="AU494" i="5"/>
  <c r="AU260" i="5"/>
  <c r="AT260" i="5"/>
  <c r="AT246" i="5"/>
  <c r="AU246" i="5"/>
  <c r="AU137" i="5"/>
  <c r="AT137" i="5"/>
  <c r="AU337" i="5"/>
  <c r="AT337" i="5"/>
  <c r="AT461" i="5"/>
  <c r="AU461" i="5"/>
  <c r="AU309" i="5"/>
  <c r="AT309" i="5"/>
  <c r="AU9" i="5"/>
  <c r="AT9" i="5"/>
  <c r="AU85" i="5"/>
  <c r="AT85" i="5"/>
  <c r="AT471" i="5"/>
  <c r="AU471" i="5"/>
  <c r="AU13" i="5"/>
  <c r="AT13" i="5"/>
  <c r="AU421" i="5"/>
  <c r="AT421" i="5"/>
  <c r="AU347" i="5"/>
  <c r="AT347" i="5"/>
  <c r="AU489" i="5"/>
  <c r="AT489" i="5"/>
  <c r="AT218" i="5"/>
  <c r="AU218" i="5"/>
  <c r="AU304" i="5"/>
  <c r="AT304" i="5"/>
  <c r="AT529" i="5"/>
  <c r="AU529" i="5"/>
  <c r="AT157" i="5"/>
  <c r="AU157" i="5"/>
  <c r="AT224" i="5"/>
  <c r="AU224" i="5"/>
  <c r="AU156" i="5"/>
  <c r="AT156" i="5"/>
  <c r="AT103" i="5"/>
  <c r="AU103" i="5"/>
  <c r="AU21" i="5"/>
  <c r="AT21" i="5"/>
  <c r="AU114" i="5"/>
  <c r="AT114" i="5"/>
  <c r="AT51" i="5"/>
  <c r="AU51" i="5"/>
  <c r="AU549" i="5"/>
  <c r="AT549" i="5"/>
  <c r="AU293" i="5"/>
  <c r="AT293" i="5"/>
  <c r="AT158" i="5"/>
  <c r="AU158" i="5"/>
  <c r="AT355" i="5"/>
  <c r="AU355" i="5"/>
  <c r="AT67" i="5"/>
  <c r="AU67" i="5"/>
  <c r="AU279" i="5"/>
  <c r="AT279" i="5"/>
  <c r="AT111" i="5"/>
  <c r="AU111" i="5"/>
  <c r="AU327" i="5"/>
  <c r="AT327" i="5"/>
  <c r="AU230" i="5"/>
  <c r="AT230" i="5"/>
  <c r="AT546" i="5"/>
  <c r="AU546" i="5"/>
  <c r="AT189" i="5"/>
  <c r="AU189" i="5"/>
  <c r="AU174" i="5"/>
  <c r="AT174" i="5"/>
  <c r="AU456" i="5"/>
  <c r="AT456" i="5"/>
  <c r="AT525" i="5"/>
  <c r="AU525" i="5"/>
  <c r="AU428" i="5"/>
  <c r="AT428" i="5"/>
  <c r="AT445" i="5"/>
  <c r="AU445" i="5"/>
  <c r="AT384" i="5"/>
  <c r="AU384" i="5"/>
  <c r="AU86" i="5"/>
  <c r="AT86" i="5"/>
  <c r="AU485" i="5"/>
  <c r="AT485" i="5"/>
  <c r="AT360" i="5"/>
  <c r="AU360" i="5"/>
  <c r="AU122" i="5"/>
  <c r="AT122" i="5"/>
  <c r="AU272" i="5"/>
  <c r="AT272" i="5"/>
  <c r="AU43" i="5"/>
  <c r="AT43" i="5"/>
  <c r="AU20" i="5"/>
  <c r="AT20" i="5"/>
  <c r="AU414" i="5"/>
  <c r="AT414" i="5"/>
  <c r="AU232" i="5"/>
  <c r="AT232" i="5"/>
  <c r="AU359" i="5"/>
  <c r="AT359" i="5"/>
  <c r="AU371" i="5"/>
  <c r="AT371" i="5"/>
  <c r="AU277" i="5"/>
  <c r="AT277" i="5"/>
  <c r="AU63" i="5"/>
  <c r="AT63" i="5"/>
  <c r="AU354" i="5"/>
  <c r="AT354" i="5"/>
  <c r="AT117" i="5"/>
  <c r="AU117" i="5"/>
  <c r="AU24" i="5"/>
  <c r="AT24" i="5"/>
  <c r="AU278" i="5"/>
  <c r="AT278" i="5"/>
  <c r="AU315" i="5"/>
  <c r="AT315" i="5"/>
  <c r="AT530" i="5"/>
  <c r="AU530" i="5"/>
  <c r="AT447" i="5"/>
  <c r="AU447" i="5"/>
  <c r="AU38" i="5"/>
  <c r="AT38" i="5"/>
  <c r="AT10" i="5" l="1"/>
  <c r="AU10" i="5"/>
  <c r="AT11" i="5"/>
  <c r="AU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20"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2"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4"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7"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8"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9"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0"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1" authorId="0" shapeId="0" xr:uid="{00000000-0006-0000-0000-000012000000}">
      <text>
        <r>
          <rPr>
            <sz val="9"/>
            <color indexed="81"/>
            <rFont val="Tahoma"/>
            <family val="2"/>
          </rPr>
          <t xml:space="preserve">
</t>
        </r>
      </text>
    </comment>
    <comment ref="G34" authorId="0" shapeId="0" xr:uid="{00000000-0006-0000-0000-000013000000}">
      <text>
        <r>
          <rPr>
            <b/>
            <sz val="9"/>
            <color indexed="81"/>
            <rFont val="Tahoma"/>
            <family val="2"/>
          </rPr>
          <t>The saturation current of the inductor must be higher than the peak inductor current limint. 
Recommended Margin is ~15%</t>
        </r>
      </text>
    </comment>
    <comment ref="G56"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0" authorId="0" shapeId="0" xr:uid="{00000000-0006-0000-0100-000001000000}">
      <text>
        <r>
          <rPr>
            <b/>
            <sz val="9"/>
            <color indexed="81"/>
            <rFont val="Tahoma"/>
            <family val="2"/>
          </rPr>
          <t>Forced off time limit? 
[2 True, 1 False]</t>
        </r>
        <r>
          <rPr>
            <sz val="9"/>
            <color indexed="81"/>
            <rFont val="Tahoma"/>
            <family val="2"/>
          </rPr>
          <t xml:space="preserve">
</t>
        </r>
      </text>
    </comment>
    <comment ref="K8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8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<sst xmlns="http://schemas.openxmlformats.org/spreadsheetml/2006/main" count="840" uniqueCount="507">
  <si>
    <t>TERMS OF USE</t>
  </si>
  <si>
    <t>ABOUT</t>
  </si>
  <si>
    <t>=Input Box</t>
  </si>
  <si>
    <t>Rev 1</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</si>
  <si>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</si>
  <si>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</si>
  <si>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</si>
  <si>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</si>
  <si>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</si>
  <si>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</si>
  <si>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</si>
  <si>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</si>
  <si>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</si>
  <si>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</si>
  <si>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</si>
  <si>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</si>
  <si>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</si>
  <si>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</si>
  <si>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</si>
  <si>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</si>
  <si>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</si>
  <si>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</si>
  <si>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</si>
  <si>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</si>
  <si>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</si>
  <si>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</si>
  <si>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</si>
  <si>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</si>
  <si>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</si>
  <si>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</si>
  <si>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</si>
  <si>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</si>
  <si>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</si>
  <si>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</si>
  <si>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</si>
  <si>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</si>
  <si>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</si>
  <si>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</si>
  <si>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</si>
  <si>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</si>
  <si>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</si>
  <si>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</si>
  <si>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</si>
  <si>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</si>
  <si>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</si>
  <si>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</si>
  <si>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</si>
  <si>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</si>
  <si>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</si>
  <si>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</si>
  <si>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</si>
  <si>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</si>
  <si>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</si>
  <si>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</si>
  <si>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</si>
  <si>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</si>
  <si>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</si>
  <si>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</si>
  <si>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</si>
  <si>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</si>
  <si>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</si>
  <si>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</si>
  <si>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</si>
  <si>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</si>
  <si>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</si>
  <si>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</si>
  <si>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</si>
  <si>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</si>
  <si>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</si>
  <si>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</si>
  <si>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</si>
  <si>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</si>
  <si>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</si>
  <si>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</si>
  <si>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</si>
  <si>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</si>
  <si>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</si>
  <si>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</si>
  <si>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</si>
  <si>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</si>
  <si>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</si>
  <si>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</si>
  <si>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</si>
  <si>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</si>
  <si>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</si>
  <si>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</si>
  <si>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</si>
  <si>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</si>
  <si>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</si>
  <si>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</si>
  <si>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</si>
  <si>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</si>
  <si>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</si>
  <si>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</si>
  <si>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</si>
  <si>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</si>
  <si>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</si>
  <si>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</si>
  <si>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</si>
  <si>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</si>
  <si>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</si>
  <si>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</si>
  <si>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</si>
  <si>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</si>
  <si>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</si>
  <si>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</si>
  <si>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</si>
  <si>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</si>
  <si>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</si>
  <si>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</si>
  <si>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</si>
  <si>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</si>
  <si>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</si>
  <si>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</si>
  <si>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</si>
  <si>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</si>
  <si>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</si>
  <si>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</si>
  <si>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</si>
  <si>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</si>
  <si>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</si>
  <si>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</si>
  <si>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</si>
  <si>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</si>
  <si>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</si>
  <si>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</si>
  <si>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</si>
  <si>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</si>
  <si>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</si>
  <si>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</si>
  <si>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</si>
  <si>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</si>
  <si>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</si>
  <si>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</si>
  <si>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</si>
  <si>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</si>
  <si>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</si>
  <si>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</si>
  <si>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</si>
  <si>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</si>
  <si>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</si>
  <si>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</si>
  <si>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</si>
  <si>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</si>
  <si>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</si>
  <si>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</si>
  <si>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</si>
  <si>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</si>
  <si>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</si>
  <si>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</si>
  <si>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</si>
  <si>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</si>
  <si>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</si>
  <si>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</si>
  <si>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</si>
  <si>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</si>
  <si>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</si>
  <si>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</si>
  <si>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</si>
  <si>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</si>
  <si>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</si>
  <si>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</si>
  <si>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</si>
  <si>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</si>
  <si>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</si>
  <si>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</si>
  <si>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</si>
  <si>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</si>
  <si>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</si>
  <si>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</si>
  <si>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</si>
  <si>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</si>
  <si>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</si>
  <si>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</si>
  <si>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</si>
  <si>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</si>
  <si>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</si>
  <si>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</si>
  <si>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</si>
  <si>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</si>
  <si>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</si>
  <si>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</si>
  <si>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</si>
  <si>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</si>
  <si>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</si>
  <si>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</si>
  <si>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</si>
  <si>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</si>
  <si>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</si>
  <si>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r>
      <t>Desired Output ripple ripple voltage (</t>
    </r>
    <r>
      <rPr>
        <sz val="11"/>
        <color theme="1"/>
        <rFont val="Calibri"/>
        <family val="2"/>
      </rPr>
      <t>Δv</t>
    </r>
    <r>
      <rPr>
        <vertAlign val="subscript"/>
        <sz val="11"/>
        <color theme="1"/>
        <rFont val="Calibri"/>
        <family val="2"/>
      </rPr>
      <t>OUT</t>
    </r>
    <r>
      <rPr>
        <sz val="11"/>
        <color theme="1"/>
        <rFont val="Calibri"/>
        <family val="2"/>
      </rPr>
      <t>)</t>
    </r>
  </si>
  <si>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</si>
  <si>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</si>
  <si>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</si>
  <si>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</si>
  <si>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</si>
  <si>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</si>
  <si>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</si>
  <si>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</si>
  <si>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</si>
  <si>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</si>
  <si>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</si>
  <si>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</si>
  <si>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</si>
  <si>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</si>
  <si>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</si>
  <si>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</si>
  <si>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</si>
  <si>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</si>
  <si>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</si>
  <si>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</si>
  <si>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</si>
  <si>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</si>
  <si>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</si>
  <si>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</si>
  <si>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</si>
  <si>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</si>
  <si>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</si>
  <si>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</si>
  <si>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</si>
  <si>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</si>
  <si>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</si>
  <si>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</si>
  <si>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</si>
  <si>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</si>
  <si>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</si>
  <si>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</si>
  <si>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</si>
  <si>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</si>
  <si>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</si>
  <si>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</si>
  <si>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</si>
  <si>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</si>
  <si>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</si>
  <si>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</si>
  <si>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</si>
  <si>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</si>
  <si>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</si>
  <si>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</si>
  <si>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</si>
  <si>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</si>
  <si>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</si>
  <si>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</si>
  <si>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</si>
  <si>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</si>
  <si>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</si>
  <si>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</si>
  <si>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</si>
  <si>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</si>
  <si>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</si>
  <si>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</si>
  <si>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</si>
  <si>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</si>
  <si>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</si>
  <si>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</si>
  <si>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</si>
  <si>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</si>
  <si>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</si>
  <si>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</si>
  <si>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</si>
  <si>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</si>
  <si>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</si>
  <si>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</si>
  <si>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</si>
  <si>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</si>
  <si>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</si>
  <si>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</si>
  <si>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</si>
  <si>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</si>
  <si>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</si>
  <si>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</si>
  <si>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</si>
  <si>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</si>
  <si>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</si>
  <si>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</si>
  <si>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</si>
  <si>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</si>
  <si>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</si>
  <si>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</si>
  <si>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</si>
  <si>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</si>
  <si>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</si>
  <si>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</si>
  <si>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</si>
  <si>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</si>
  <si>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</si>
  <si>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</si>
  <si>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</si>
  <si>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LM5155 DC/DC BOOST Controller Design Tool</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</si>
  <si>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</si>
  <si>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</si>
  <si>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</si>
  <si>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</si>
  <si>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</si>
  <si>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</si>
  <si>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</si>
  <si>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</si>
  <si>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</si>
  <si>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</si>
  <si>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</si>
  <si>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</si>
  <si>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</si>
  <si>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</si>
  <si>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</si>
  <si>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</si>
  <si>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</si>
  <si>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</si>
  <si>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</si>
  <si>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</si>
  <si>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</si>
  <si>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</si>
  <si>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</si>
  <si>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</si>
  <si>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</si>
  <si>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</si>
  <si>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</si>
  <si>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</si>
  <si>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</si>
  <si>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</si>
  <si>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</si>
  <si>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</si>
  <si>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</si>
  <si>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</si>
  <si>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</si>
  <si>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</si>
  <si>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</si>
  <si>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</si>
  <si>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</si>
  <si>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</si>
  <si>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</si>
  <si>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</si>
  <si>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</si>
  <si>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</si>
  <si>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</si>
  <si>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</si>
  <si>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</si>
  <si>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</si>
  <si>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</si>
  <si>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</si>
  <si>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</si>
  <si>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</si>
  <si>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</si>
  <si>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</si>
  <si>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</si>
  <si>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</si>
  <si>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</si>
  <si>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</si>
  <si>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</si>
  <si>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</si>
  <si>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</si>
  <si>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</si>
  <si>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</si>
  <si>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</si>
  <si>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</si>
  <si>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</si>
  <si>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</si>
  <si>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</si>
  <si>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</si>
  <si>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</si>
  <si>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</si>
  <si>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</si>
  <si>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</si>
  <si>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</si>
  <si>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</si>
  <si>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</si>
  <si>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</si>
  <si>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</si>
  <si>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</si>
  <si>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</si>
  <si>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</si>
  <si>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</si>
  <si>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</si>
  <si>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</si>
  <si>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</si>
  <si>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</si>
  <si>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</si>
  <si>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</si>
  <si>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</si>
  <si>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</si>
  <si>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</si>
  <si>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</si>
  <si>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</si>
  <si>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</si>
  <si>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</si>
  <si>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</si>
  <si>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</si>
  <si>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</si>
  <si>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</si>
  <si>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</si>
  <si>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</si>
  <si>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</si>
  <si>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</si>
  <si>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</si>
  <si>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</si>
  <si>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</si>
  <si>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</si>
  <si>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</si>
  <si>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</si>
  <si>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</si>
  <si>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</si>
  <si>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</si>
  <si>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</si>
  <si>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</si>
  <si>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</si>
  <si>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</si>
  <si>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</si>
  <si>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</si>
  <si>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</si>
  <si>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</si>
  <si>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</si>
  <si>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</si>
  <si>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</si>
  <si>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</si>
  <si>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</si>
  <si>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</si>
  <si>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</si>
  <si>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</si>
  <si>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</si>
  <si>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</si>
  <si>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</si>
  <si>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</si>
  <si>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</si>
  <si>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</si>
  <si>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</si>
  <si>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</si>
  <si>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</si>
  <si>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</si>
  <si>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</si>
  <si>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</si>
  <si>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</si>
  <si>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</si>
  <si>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</si>
  <si>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</si>
  <si>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</si>
  <si>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</si>
  <si>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</si>
  <si>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</si>
  <si>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</si>
  <si>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</si>
  <si>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</si>
  <si>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</si>
  <si>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</si>
  <si>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</si>
  <si>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</si>
  <si>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</si>
  <si>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</si>
  <si>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</si>
  <si>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</si>
  <si>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</si>
  <si>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</si>
  <si>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</si>
  <si>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</si>
  <si>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</si>
  <si>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</si>
  <si>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</si>
  <si>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</si>
  <si>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</si>
  <si>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</si>
  <si>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</si>
  <si>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</si>
  <si>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</si>
  <si>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</si>
  <si>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</si>
  <si>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</si>
  <si>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</si>
  <si>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</si>
  <si>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</si>
  <si>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</si>
  <si>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</si>
  <si>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</si>
  <si>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</si>
  <si>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</si>
  <si>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</si>
  <si>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</si>
  <si>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</si>
  <si>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</si>
  <si>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</si>
  <si>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</si>
  <si>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</si>
  <si>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</si>
  <si>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</si>
  <si>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</si>
  <si>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</si>
  <si>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</si>
  <si>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</si>
  <si>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</si>
  <si>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</si>
  <si>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</si>
  <si>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</si>
  <si>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</si>
  <si>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</si>
  <si>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</si>
  <si>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</si>
  <si>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</si>
  <si>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</si>
  <si>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</si>
  <si>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</si>
  <si>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</si>
  <si>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</si>
  <si>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</si>
  <si>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</si>
  <si>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</si>
  <si>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</si>
  <si>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</si>
  <si>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t>December-2018</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</si>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</sst>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36" x14ac:knownFonts="1">
    <font>
      <sz val="11"/>
      <color theme="1"/>
      <name val="Calibri"/>
      <family val="2"/>
      <scheme val="minor"/>
    </font>
    <font>
      <sz val="11"/>
      <color theme="1"/>
      <name val="Calibri"/>
      <family val="2"/>
      <scheme val="minor"/>
    </font>
    <font>
      <b/>
      <sz val="11"/>
      <color theme="0"/>
      <name val="Calibri"/>
      <family val="2"/>
      <scheme val="minor"/>
    </font>
    <font>
      <sz val="10"/>
      <name val="Arial"/>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36">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2" fontId="0" fillId="0" borderId="0" xfId="0" applyNumberFormat="1"/>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169" fontId="0" fillId="0" borderId="0" xfId="0" applyNumberFormat="1" applyFill="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2"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0" fontId="0" fillId="16" borderId="25" xfId="0" applyNumberFormat="1" applyFill="1" applyBorder="1" applyProtection="1">
      <protection hidden="1"/>
    </xf>
    <xf numFmtId="1" fontId="0" fillId="16" borderId="26" xfId="0" applyNumberFormat="1"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60.765005179529226</c:v>
                </c:pt>
                <c:pt idx="1">
                  <c:v>60.564177178603764</c:v>
                </c:pt>
                <c:pt idx="2">
                  <c:v>60.36331034765206</c:v>
                </c:pt>
                <c:pt idx="3">
                  <c:v>60.162402875148572</c:v>
                </c:pt>
                <c:pt idx="4">
                  <c:v>59.961452865962542</c:v>
                </c:pt>
                <c:pt idx="5">
                  <c:v>59.760458337586755</c:v>
                </c:pt>
                <c:pt idx="6">
                  <c:v>59.559417216203691</c:v>
                </c:pt>
                <c:pt idx="7">
                  <c:v>59.358327332585183</c:v>
                </c:pt>
                <c:pt idx="8">
                  <c:v>59.157186417816796</c:v>
                </c:pt>
                <c:pt idx="9">
                  <c:v>58.95599209884189</c:v>
                </c:pt>
                <c:pt idx="10">
                  <c:v>58.754741893819258</c:v>
                </c:pt>
                <c:pt idx="11">
                  <c:v>58.553433207285835</c:v>
                </c:pt>
                <c:pt idx="12">
                  <c:v>58.352063325119907</c:v>
                </c:pt>
                <c:pt idx="13">
                  <c:v>58.150629409295746</c:v>
                </c:pt>
                <c:pt idx="14">
                  <c:v>57.949128492424919</c:v>
                </c:pt>
                <c:pt idx="15">
                  <c:v>57.747557472074561</c:v>
                </c:pt>
                <c:pt idx="16">
                  <c:v>57.545913104858485</c:v>
                </c:pt>
                <c:pt idx="17">
                  <c:v>57.344192000290931</c:v>
                </c:pt>
                <c:pt idx="18">
                  <c:v>57.142390614398273</c:v>
                </c:pt>
                <c:pt idx="19">
                  <c:v>56.940505243079606</c:v>
                </c:pt>
                <c:pt idx="20">
                  <c:v>56.738532015210588</c:v>
                </c:pt>
                <c:pt idx="21">
                  <c:v>56.536466885481964</c:v>
                </c:pt>
                <c:pt idx="22">
                  <c:v>56.334305626967833</c:v>
                </c:pt>
                <c:pt idx="23">
                  <c:v>56.132043823413994</c:v>
                </c:pt>
                <c:pt idx="24">
                  <c:v>55.929676861243067</c:v>
                </c:pt>
                <c:pt idx="25">
                  <c:v>55.727199921267719</c:v>
                </c:pt>
                <c:pt idx="26">
                  <c:v>55.524607970106537</c:v>
                </c:pt>
                <c:pt idx="27">
                  <c:v>55.321895751297717</c:v>
                </c:pt>
                <c:pt idx="28">
                  <c:v>55.11905777610437</c:v>
                </c:pt>
                <c:pt idx="29">
                  <c:v>54.916088314007581</c:v>
                </c:pt>
                <c:pt idx="30">
                  <c:v>54.712981382882916</c:v>
                </c:pt>
                <c:pt idx="31">
                  <c:v>54.509730738856852</c:v>
                </c:pt>
                <c:pt idx="32">
                  <c:v>54.306329865841207</c:v>
                </c:pt>
                <c:pt idx="33">
                  <c:v>54.102771964743582</c:v>
                </c:pt>
                <c:pt idx="34">
                  <c:v>53.899049942354161</c:v>
                </c:pt>
                <c:pt idx="35">
                  <c:v>53.69515639990756</c:v>
                </c:pt>
                <c:pt idx="36">
                  <c:v>53.491083621325103</c:v>
                </c:pt>
                <c:pt idx="37">
                  <c:v>53.286823561137311</c:v>
                </c:pt>
                <c:pt idx="38">
                  <c:v>53.082367832094633</c:v>
                </c:pt>
                <c:pt idx="39">
                  <c:v>52.877707692472377</c:v>
                </c:pt>
                <c:pt idx="40">
                  <c:v>52.672834033078772</c:v>
                </c:pt>
                <c:pt idx="41">
                  <c:v>52.467737363977633</c:v>
                </c:pt>
                <c:pt idx="42">
                  <c:v>52.262407800938604</c:v>
                </c:pt>
                <c:pt idx="43">
                  <c:v>52.056835051633719</c:v>
                </c:pt>
                <c:pt idx="44">
                  <c:v>51.851008401596431</c:v>
                </c:pt>
                <c:pt idx="45">
                  <c:v>51.644916699967894</c:v>
                </c:pt>
                <c:pt idx="46">
                  <c:v>51.438548345055494</c:v>
                </c:pt>
                <c:pt idx="47">
                  <c:v>51.231891269733524</c:v>
                </c:pt>
                <c:pt idx="48">
                  <c:v>51.024932926719544</c:v>
                </c:pt>
                <c:pt idx="49">
                  <c:v>50.817660273765746</c:v>
                </c:pt>
                <c:pt idx="50">
                  <c:v>50.610059758805725</c:v>
                </c:pt>
                <c:pt idx="51">
                  <c:v>50.402117305106479</c:v>
                </c:pt>
                <c:pt idx="52">
                  <c:v>50.1938182964779</c:v>
                </c:pt>
                <c:pt idx="53">
                  <c:v>49.985147562599096</c:v>
                </c:pt>
                <c:pt idx="54">
                  <c:v>49.776089364524758</c:v>
                </c:pt>
                <c:pt idx="55">
                  <c:v>49.566627380445425</c:v>
                </c:pt>
                <c:pt idx="56">
                  <c:v>49.356744691776335</c:v>
                </c:pt>
                <c:pt idx="57">
                  <c:v>49.146423769663052</c:v>
                </c:pt>
                <c:pt idx="58">
                  <c:v>48.935646461993343</c:v>
                </c:pt>
                <c:pt idx="59">
                  <c:v>48.724393981016696</c:v>
                </c:pt>
                <c:pt idx="60">
                  <c:v>48.512646891679324</c:v>
                </c:pt>
                <c:pt idx="61">
                  <c:v>48.300385100789747</c:v>
                </c:pt>
                <c:pt idx="62">
                  <c:v>48.087587847140995</c:v>
                </c:pt>
                <c:pt idx="63">
                  <c:v>47.87423369272004</c:v>
                </c:pt>
                <c:pt idx="64">
                  <c:v>47.660300515147668</c:v>
                </c:pt>
                <c:pt idx="65">
                  <c:v>47.445765501499153</c:v>
                </c:pt>
                <c:pt idx="66">
                  <c:v>47.230605143662203</c:v>
                </c:pt>
                <c:pt idx="67">
                  <c:v>47.014795235401834</c:v>
                </c:pt>
                <c:pt idx="68">
                  <c:v>46.798310871306292</c:v>
                </c:pt>
                <c:pt idx="69">
                  <c:v>46.581126447797267</c:v>
                </c:pt>
                <c:pt idx="70">
                  <c:v>46.363215666394019</c:v>
                </c:pt>
                <c:pt idx="71">
                  <c:v>46.14455153943063</c:v>
                </c:pt>
                <c:pt idx="72">
                  <c:v>45.925106398426543</c:v>
                </c:pt>
                <c:pt idx="73">
                  <c:v>45.704851905320616</c:v>
                </c:pt>
                <c:pt idx="74">
                  <c:v>45.483759066779413</c:v>
                </c:pt>
                <c:pt idx="75">
                  <c:v>45.261798251793252</c:v>
                </c:pt>
                <c:pt idx="76">
                  <c:v>45.038939212775702</c:v>
                </c:pt>
                <c:pt idx="77">
                  <c:v>44.815151110381336</c:v>
                </c:pt>
                <c:pt idx="78">
                  <c:v>44.590402542251141</c:v>
                </c:pt>
                <c:pt idx="79">
                  <c:v>44.364661575893876</c:v>
                </c:pt>
                <c:pt idx="80">
                  <c:v>44.137895785901222</c:v>
                </c:pt>
                <c:pt idx="81">
                  <c:v>43.910072295686447</c:v>
                </c:pt>
                <c:pt idx="82">
                  <c:v>43.681157823922462</c:v>
                </c:pt>
                <c:pt idx="83">
                  <c:v>43.451118735839557</c:v>
                </c:pt>
                <c:pt idx="84">
                  <c:v>43.219921099524548</c:v>
                </c:pt>
                <c:pt idx="85">
                  <c:v>42.987530747341253</c:v>
                </c:pt>
                <c:pt idx="86">
                  <c:v>42.753913342564275</c:v>
                </c:pt>
                <c:pt idx="87">
                  <c:v>42.519034451292733</c:v>
                </c:pt>
                <c:pt idx="88">
                  <c:v>42.282859619673808</c:v>
                </c:pt>
                <c:pt idx="89">
                  <c:v>42.045354456433401</c:v>
                </c:pt>
                <c:pt idx="90">
                  <c:v>41.806484720668607</c:v>
                </c:pt>
                <c:pt idx="91">
                  <c:v>41.566216414817497</c:v>
                </c:pt>
                <c:pt idx="92">
                  <c:v>41.324515882672443</c:v>
                </c:pt>
                <c:pt idx="93">
                  <c:v>41.08134991225689</c:v>
                </c:pt>
                <c:pt idx="94">
                  <c:v>40.836685843334649</c:v>
                </c:pt>
                <c:pt idx="95">
                  <c:v>40.590491679268233</c:v>
                </c:pt>
                <c:pt idx="96">
                  <c:v>40.342736202887068</c:v>
                </c:pt>
                <c:pt idx="97">
                  <c:v>40.093389095976207</c:v>
                </c:pt>
                <c:pt idx="98">
                  <c:v>39.842421061935937</c:v>
                </c:pt>
                <c:pt idx="99">
                  <c:v>39.58980395111422</c:v>
                </c:pt>
                <c:pt idx="100">
                  <c:v>39.335510888259314</c:v>
                </c:pt>
                <c:pt idx="101">
                  <c:v>39.079516401488512</c:v>
                </c:pt>
                <c:pt idx="102">
                  <c:v>38.821796552128362</c:v>
                </c:pt>
                <c:pt idx="103">
                  <c:v>38.562329064731671</c:v>
                </c:pt>
                <c:pt idx="104">
                  <c:v>38.301093456547747</c:v>
                </c:pt>
                <c:pt idx="105">
                  <c:v>38.038071165683959</c:v>
                </c:pt>
                <c:pt idx="106">
                  <c:v>37.773245677178842</c:v>
                </c:pt>
                <c:pt idx="107">
                  <c:v>37.50660264618525</c:v>
                </c:pt>
                <c:pt idx="108">
                  <c:v>37.238130017456577</c:v>
                </c:pt>
                <c:pt idx="109">
                  <c:v>36.967818140326983</c:v>
                </c:pt>
                <c:pt idx="110">
                  <c:v>36.6956598783879</c:v>
                </c:pt>
                <c:pt idx="111">
                  <c:v>36.42165071307862</c:v>
                </c:pt>
                <c:pt idx="112">
                  <c:v>36.145788840438286</c:v>
                </c:pt>
                <c:pt idx="113">
                  <c:v>35.868075260302312</c:v>
                </c:pt>
                <c:pt idx="114">
                  <c:v>35.588513857272311</c:v>
                </c:pt>
                <c:pt idx="115">
                  <c:v>35.307111472841044</c:v>
                </c:pt>
                <c:pt idx="116">
                  <c:v>35.023877968117027</c:v>
                </c:pt>
                <c:pt idx="117">
                  <c:v>34.738826276660184</c:v>
                </c:pt>
                <c:pt idx="118">
                  <c:v>34.451972447013908</c:v>
                </c:pt>
                <c:pt idx="119">
                  <c:v>34.163335674598834</c:v>
                </c:pt>
                <c:pt idx="120">
                  <c:v>33.872938322712955</c:v>
                </c:pt>
                <c:pt idx="121">
                  <c:v>33.580805932468465</c:v>
                </c:pt>
                <c:pt idx="122">
                  <c:v>33.286967221581442</c:v>
                </c:pt>
                <c:pt idx="123">
                  <c:v>32.991454072009638</c:v>
                </c:pt>
                <c:pt idx="124">
                  <c:v>32.694301506522123</c:v>
                </c:pt>
                <c:pt idx="125">
                  <c:v>32.39554765435755</c:v>
                </c:pt>
                <c:pt idx="126">
                  <c:v>32.09523370620397</c:v>
                </c:pt>
                <c:pt idx="127">
                  <c:v>31.793403858803178</c:v>
                </c:pt>
                <c:pt idx="128">
                  <c:v>31.490105249540651</c:v>
                </c:pt>
                <c:pt idx="129">
                  <c:v>31.185387881438885</c:v>
                </c:pt>
                <c:pt idx="130">
                  <c:v>30.879304539018758</c:v>
                </c:pt>
                <c:pt idx="131">
                  <c:v>30.5719106955302</c:v>
                </c:pt>
                <c:pt idx="132">
                  <c:v>30.263264412083018</c:v>
                </c:pt>
                <c:pt idx="133">
                  <c:v>29.953426229231912</c:v>
                </c:pt>
                <c:pt idx="134">
                  <c:v>29.642459051577607</c:v>
                </c:pt>
                <c:pt idx="135">
                  <c:v>29.330428025956962</c:v>
                </c:pt>
                <c:pt idx="136">
                  <c:v>29.017400413785509</c:v>
                </c:pt>
                <c:pt idx="137">
                  <c:v>28.703445458111755</c:v>
                </c:pt>
                <c:pt idx="138">
                  <c:v>28.388634245922781</c:v>
                </c:pt>
                <c:pt idx="139">
                  <c:v>28.073039566222985</c:v>
                </c:pt>
                <c:pt idx="140">
                  <c:v>27.756735764381748</c:v>
                </c:pt>
                <c:pt idx="141">
                  <c:v>27.439798593219908</c:v>
                </c:pt>
                <c:pt idx="142">
                  <c:v>27.122305061272982</c:v>
                </c:pt>
                <c:pt idx="143">
                  <c:v>26.804333278642893</c:v>
                </c:pt>
                <c:pt idx="144">
                  <c:v>26.485962300817</c:v>
                </c:pt>
                <c:pt idx="145">
                  <c:v>26.16727197080623</c:v>
                </c:pt>
                <c:pt idx="146">
                  <c:v>25.848342759929036</c:v>
                </c:pt>
                <c:pt idx="147">
                  <c:v>25.529255607542524</c:v>
                </c:pt>
                <c:pt idx="148">
                  <c:v>25.210091760005771</c:v>
                </c:pt>
                <c:pt idx="149">
                  <c:v>24.890932609141622</c:v>
                </c:pt>
                <c:pt idx="150">
                  <c:v>24.571859530459079</c:v>
                </c:pt>
                <c:pt idx="151">
                  <c:v>24.252953721386771</c:v>
                </c:pt>
                <c:pt idx="152">
                  <c:v>23.934296039773404</c:v>
                </c:pt>
                <c:pt idx="153">
                  <c:v>23.615966842914421</c:v>
                </c:pt>
                <c:pt idx="154">
                  <c:v>23.298045827377052</c:v>
                </c:pt>
                <c:pt idx="155">
                  <c:v>22.980611869906458</c:v>
                </c:pt>
                <c:pt idx="156">
                  <c:v>22.663742869722903</c:v>
                </c:pt>
                <c:pt idx="157">
                  <c:v>22.347515592536737</c:v>
                </c:pt>
                <c:pt idx="158">
                  <c:v>22.032005516637724</c:v>
                </c:pt>
                <c:pt idx="159">
                  <c:v>21.71728668144403</c:v>
                </c:pt>
                <c:pt idx="160">
                  <c:v>21.403431538924032</c:v>
                </c:pt>
                <c:pt idx="161">
                  <c:v>21.090510808335271</c:v>
                </c:pt>
                <c:pt idx="162">
                  <c:v>20.778593334754547</c:v>
                </c:pt>
                <c:pt idx="163">
                  <c:v>20.46774595189752</c:v>
                </c:pt>
                <c:pt idx="164">
                  <c:v>20.158033349753417</c:v>
                </c:pt>
                <c:pt idx="165">
                  <c:v>19.849517947577681</c:v>
                </c:pt>
                <c:pt idx="166">
                  <c:v>19.542259772801025</c:v>
                </c:pt>
                <c:pt idx="167">
                  <c:v>19.236316346422242</c:v>
                </c:pt>
                <c:pt idx="168">
                  <c:v>18.931742575453267</c:v>
                </c:pt>
                <c:pt idx="169">
                  <c:v>18.628590652979035</c:v>
                </c:pt>
                <c:pt idx="170">
                  <c:v>18.326909966381425</c:v>
                </c:pt>
                <c:pt idx="171">
                  <c:v>18.026747014254589</c:v>
                </c:pt>
                <c:pt idx="172">
                  <c:v>17.728145332505999</c:v>
                </c:pt>
                <c:pt idx="173">
                  <c:v>17.431145430100948</c:v>
                </c:pt>
                <c:pt idx="174">
                  <c:v>17.135784734858433</c:v>
                </c:pt>
                <c:pt idx="175">
                  <c:v>16.84209754965195</c:v>
                </c:pt>
                <c:pt idx="176">
                  <c:v>16.550115019304013</c:v>
                </c:pt>
                <c:pt idx="177">
                  <c:v>16.259865108397186</c:v>
                </c:pt>
                <c:pt idx="178">
                  <c:v>15.971372590146116</c:v>
                </c:pt>
                <c:pt idx="179">
                  <c:v>15.684659046396884</c:v>
                </c:pt>
                <c:pt idx="180">
                  <c:v>15.399742878740275</c:v>
                </c:pt>
                <c:pt idx="181">
                  <c:v>15.116639330636563</c:v>
                </c:pt>
                <c:pt idx="182">
                  <c:v>14.835360520370159</c:v>
                </c:pt>
                <c:pt idx="183">
                  <c:v>14.555915484563213</c:v>
                </c:pt>
                <c:pt idx="184">
                  <c:v>14.27831023190091</c:v>
                </c:pt>
                <c:pt idx="185">
                  <c:v>14.00254780664055</c:v>
                </c:pt>
                <c:pt idx="186">
                  <c:v>13.728628361402652</c:v>
                </c:pt>
                <c:pt idx="187">
                  <c:v>13.45654923867813</c:v>
                </c:pt>
                <c:pt idx="188">
                  <c:v>13.186305060422853</c:v>
                </c:pt>
                <c:pt idx="189">
                  <c:v>12.917887825058996</c:v>
                </c:pt>
                <c:pt idx="190">
                  <c:v>12.65128701115996</c:v>
                </c:pt>
                <c:pt idx="191">
                  <c:v>12.386489687056915</c:v>
                </c:pt>
                <c:pt idx="192">
                  <c:v>12.123480625584367</c:v>
                </c:pt>
                <c:pt idx="193">
                  <c:v>11.862242423158598</c:v>
                </c:pt>
                <c:pt idx="194">
                  <c:v>11.602755622381839</c:v>
                </c:pt>
                <c:pt idx="195">
                  <c:v>11.344998837362466</c:v>
                </c:pt>
                <c:pt idx="196">
                  <c:v>11.08894888095033</c:v>
                </c:pt>
                <c:pt idx="197">
                  <c:v>10.834580893109722</c:v>
                </c:pt>
                <c:pt idx="198">
                  <c:v>10.581868469671992</c:v>
                </c:pt>
                <c:pt idx="199">
                  <c:v>10.330783790744462</c:v>
                </c:pt>
                <c:pt idx="200">
                  <c:v>10.081297748091384</c:v>
                </c:pt>
                <c:pt idx="201">
                  <c:v>9.8333800708413612</c:v>
                </c:pt>
                <c:pt idx="202">
                  <c:v>9.5869994489282533</c:v>
                </c:pt>
                <c:pt idx="203">
                  <c:v>9.3421236537172465</c:v>
                </c:pt>
                <c:pt idx="204">
                  <c:v>9.0987196553239151</c:v>
                </c:pt>
                <c:pt idx="205">
                  <c:v>8.8567537361862438</c:v>
                </c:pt>
                <c:pt idx="206">
                  <c:v>8.6161916005046919</c:v>
                </c:pt>
                <c:pt idx="207">
                  <c:v>8.3769984792197949</c:v>
                </c:pt>
                <c:pt idx="208">
                  <c:v>8.1391392302510681</c:v>
                </c:pt>
                <c:pt idx="209">
                  <c:v>7.9025784337713283</c:v>
                </c:pt>
                <c:pt idx="210">
                  <c:v>7.667280482344264</c:v>
                </c:pt>
                <c:pt idx="211">
                  <c:v>7.4332096657983922</c:v>
                </c:pt>
                <c:pt idx="212">
                  <c:v>7.2003302507573972</c:v>
                </c:pt>
                <c:pt idx="213">
                  <c:v>6.9686065547878666</c:v>
                </c:pt>
                <c:pt idx="214">
                  <c:v>6.7380030151666448</c:v>
                </c:pt>
                <c:pt idx="215">
                  <c:v>6.508484252304136</c:v>
                </c:pt>
                <c:pt idx="216">
                  <c:v>6.2800151278924998</c:v>
                </c:pt>
                <c:pt idx="217">
                  <c:v>6.0525607978771543</c:v>
                </c:pt>
                <c:pt idx="218">
                  <c:v>5.8260867603743929</c:v>
                </c:pt>
                <c:pt idx="219">
                  <c:v>5.6005588986817525</c:v>
                </c:pt>
                <c:pt idx="220">
                  <c:v>5.3759435195441361</c:v>
                </c:pt>
                <c:pt idx="221">
                  <c:v>5.1522073868562002</c:v>
                </c:pt>
                <c:pt idx="222">
                  <c:v>4.9293177509950441</c:v>
                </c:pt>
                <c:pt idx="223">
                  <c:v>4.7072423739830693</c:v>
                </c:pt>
                <c:pt idx="224">
                  <c:v>4.4859495506952838</c:v>
                </c:pt>
                <c:pt idx="225">
                  <c:v>4.2654081263245978</c:v>
                </c:pt>
                <c:pt idx="226">
                  <c:v>4.0455875103229229</c:v>
                </c:pt>
                <c:pt idx="227">
                  <c:v>3.8264576870418572</c:v>
                </c:pt>
                <c:pt idx="228">
                  <c:v>3.6079892232898758</c:v>
                </c:pt>
                <c:pt idx="229">
                  <c:v>3.3901532730249064</c:v>
                </c:pt>
                <c:pt idx="230">
                  <c:v>3.1729215793987056</c:v>
                </c:pt>
                <c:pt idx="231">
                  <c:v>2.9562664743634359</c:v>
                </c:pt>
                <c:pt idx="232">
                  <c:v>2.7401608760464855</c:v>
                </c:pt>
                <c:pt idx="233">
                  <c:v>2.5245782840953557</c:v>
                </c:pt>
                <c:pt idx="234">
                  <c:v>2.3094927731880777</c:v>
                </c:pt>
                <c:pt idx="235">
                  <c:v>2.0948789848958871</c:v>
                </c:pt>
                <c:pt idx="236">
                  <c:v>1.8807121180819948</c:v>
                </c:pt>
                <c:pt idx="237">
                  <c:v>1.6669679180108554</c:v>
                </c:pt>
                <c:pt idx="238">
                  <c:v>1.4536226643376406</c:v>
                </c:pt>
                <c:pt idx="239">
                  <c:v>1.2406531581365414</c:v>
                </c:pt>
                <c:pt idx="240">
                  <c:v>1.0280367081287496</c:v>
                </c:pt>
                <c:pt idx="241">
                  <c:v>0.815751116253292</c:v>
                </c:pt>
                <c:pt idx="242">
                  <c:v>0.60377466272845393</c:v>
                </c:pt>
                <c:pt idx="243">
                  <c:v>0.39208609073837836</c:v>
                </c:pt>
                <c:pt idx="244">
                  <c:v>0.18066459087805578</c:v>
                </c:pt>
                <c:pt idx="245">
                  <c:v>-3.0510214515759242E-2</c:v>
                </c:pt>
                <c:pt idx="246">
                  <c:v>-0.24145828702630501</c:v>
                </c:pt>
                <c:pt idx="247">
                  <c:v>-0.45219918769159595</c:v>
                </c:pt>
                <c:pt idx="248">
                  <c:v>-0.66275209229807697</c:v>
                </c:pt>
                <c:pt idx="249">
                  <c:v>-0.87313580632109877</c:v>
                </c:pt>
                <c:pt idx="250">
                  <c:v>-1.0833687794039899</c:v>
                </c:pt>
                <c:pt idx="251">
                  <c:v>-1.293469119270207</c:v>
                </c:pt>
                <c:pt idx="252">
                  <c:v>-1.5034546049635762</c:v>
                </c:pt>
                <c:pt idx="253">
                  <c:v>-1.7133426993152587</c:v>
                </c:pt>
                <c:pt idx="254">
                  <c:v>-1.9231505605388308</c:v>
                </c:pt>
                <c:pt idx="255">
                  <c:v>-2.1328950528521777</c:v>
                </c:pt>
                <c:pt idx="256">
                  <c:v>-2.3425927560309265</c:v>
                </c:pt>
                <c:pt idx="257">
                  <c:v>-2.552259973797451</c:v>
                </c:pt>
                <c:pt idx="258">
                  <c:v>-2.761912740949739</c:v>
                </c:pt>
                <c:pt idx="259">
                  <c:v>-2.9715668291387236</c:v>
                </c:pt>
                <c:pt idx="260">
                  <c:v>-3.1812377512015861</c:v>
                </c:pt>
                <c:pt idx="261">
                  <c:v>-3.3909407639618756</c:v>
                </c:pt>
                <c:pt idx="262">
                  <c:v>-3.6006908694094757</c:v>
                </c:pt>
                <c:pt idx="263">
                  <c:v>-3.8105028141766888</c:v>
                </c:pt>
                <c:pt idx="264">
                  <c:v>-4.0203910872289041</c:v>
                </c:pt>
                <c:pt idx="265">
                  <c:v>-4.2303699156934602</c:v>
                </c:pt>
                <c:pt idx="266">
                  <c:v>-4.44045325875652</c:v>
                </c:pt>
                <c:pt idx="267">
                  <c:v>-4.6506547995609564</c:v>
                </c:pt>
                <c:pt idx="268">
                  <c:v>-4.8609879350479872</c:v>
                </c:pt>
                <c:pt idx="269">
                  <c:v>-5.0714657636932863</c:v>
                </c:pt>
                <c:pt idx="270">
                  <c:v>-5.2821010710964202</c:v>
                </c:pt>
                <c:pt idx="271">
                  <c:v>-5.4929063133966167</c:v>
                </c:pt>
                <c:pt idx="272">
                  <c:v>-5.7038935984976158</c:v>
                </c:pt>
                <c:pt idx="273">
                  <c:v>-5.9150746651006543</c:v>
                </c:pt>
                <c:pt idx="274">
                  <c:v>-6.1264608595613392</c:v>
                </c:pt>
                <c:pt idx="275">
                  <c:v>-6.338063110601948</c:v>
                </c:pt>
                <c:pt idx="276">
                  <c:v>-6.5498919019325665</c:v>
                </c:pt>
                <c:pt idx="277">
                  <c:v>-6.761957242854705</c:v>
                </c:pt>
                <c:pt idx="278">
                  <c:v>-6.9742686369457507</c:v>
                </c:pt>
                <c:pt idx="279">
                  <c:v>-7.186835048944415</c:v>
                </c:pt>
                <c:pt idx="280">
                  <c:v>-7.3996648699884426</c:v>
                </c:pt>
                <c:pt idx="281">
                  <c:v>-7.6127658813794898</c:v>
                </c:pt>
                <c:pt idx="282">
                  <c:v>-7.8261452170785608</c:v>
                </c:pt>
                <c:pt idx="283">
                  <c:v>-8.0398093251702605</c:v>
                </c:pt>
                <c:pt idx="284">
                  <c:v>-8.2537639285577917</c:v>
                </c:pt>
                <c:pt idx="285">
                  <c:v>-8.4680139851832461</c:v>
                </c:pt>
                <c:pt idx="286">
                  <c:v>-8.6825636480968136</c:v>
                </c:pt>
                <c:pt idx="287">
                  <c:v>-8.8974162257303497</c:v>
                </c:pt>
                <c:pt idx="288">
                  <c:v>-9.1125741427486329</c:v>
                </c:pt>
                <c:pt idx="289">
                  <c:v>-9.3280389018883749</c:v>
                </c:pt>
                <c:pt idx="290">
                  <c:v>-9.543811047206102</c:v>
                </c:pt>
                <c:pt idx="291">
                  <c:v>-9.7598901291813132</c:v>
                </c:pt>
                <c:pt idx="292">
                  <c:v>-9.9762746721330835</c:v>
                </c:pt>
                <c:pt idx="293">
                  <c:v>-10.192962144414825</c:v>
                </c:pt>
                <c:pt idx="294">
                  <c:v>-10.40994893186279</c:v>
                </c:pt>
                <c:pt idx="295">
                  <c:v>-10.627230314961588</c:v>
                </c:pt>
                <c:pt idx="296">
                  <c:v>-10.844800450190995</c:v>
                </c:pt>
                <c:pt idx="297">
                  <c:v>-11.062652355993821</c:v>
                </c:pt>
                <c:pt idx="298">
                  <c:v>-11.280777903785449</c:v>
                </c:pt>
                <c:pt idx="299">
                  <c:v>-11.499167814393097</c:v>
                </c:pt>
                <c:pt idx="300">
                  <c:v>-11.717811660273192</c:v>
                </c:pt>
                <c:pt idx="301">
                  <c:v>-11.936697873808876</c:v>
                </c:pt>
                <c:pt idx="302">
                  <c:v>-12.155813761934763</c:v>
                </c:pt>
                <c:pt idx="303">
                  <c:v>-12.375145527275981</c:v>
                </c:pt>
                <c:pt idx="304">
                  <c:v>-12.594678295919511</c:v>
                </c:pt>
                <c:pt idx="305">
                  <c:v>-12.814396151864976</c:v>
                </c:pt>
                <c:pt idx="306">
                  <c:v>-13.034282178121646</c:v>
                </c:pt>
                <c:pt idx="307">
                  <c:v>-13.254318504342464</c:v>
                </c:pt>
                <c:pt idx="308">
                  <c:v>-13.474486360797112</c:v>
                </c:pt>
                <c:pt idx="309">
                  <c:v>-13.694766138409843</c:v>
                </c:pt>
                <c:pt idx="310">
                  <c:v>-13.915137454500375</c:v>
                </c:pt>
                <c:pt idx="311">
                  <c:v>-14.135579223790335</c:v>
                </c:pt>
                <c:pt idx="312">
                  <c:v>-14.356069734160444</c:v>
                </c:pt>
                <c:pt idx="313">
                  <c:v>-14.576586726575478</c:v>
                </c:pt>
                <c:pt idx="314">
                  <c:v>-14.797107478531355</c:v>
                </c:pt>
                <c:pt idx="315">
                  <c:v>-15.017608890324457</c:v>
                </c:pt>
                <c:pt idx="316">
                  <c:v>-15.238067573400343</c:v>
                </c:pt>
                <c:pt idx="317">
                  <c:v>-15.458459940004985</c:v>
                </c:pt>
                <c:pt idx="318">
                  <c:v>-15.678762293339954</c:v>
                </c:pt>
                <c:pt idx="319">
                  <c:v>-15.898950917412922</c:v>
                </c:pt>
                <c:pt idx="320">
                  <c:v>-16.119002165778589</c:v>
                </c:pt>
                <c:pt idx="321">
                  <c:v>-16.338892548376144</c:v>
                </c:pt>
                <c:pt idx="322">
                  <c:v>-16.558598815700222</c:v>
                </c:pt>
                <c:pt idx="323">
                  <c:v>-16.778098039577234</c:v>
                </c:pt>
                <c:pt idx="324">
                  <c:v>-16.997367689866479</c:v>
                </c:pt>
                <c:pt idx="325">
                  <c:v>-17.216385706465132</c:v>
                </c:pt>
                <c:pt idx="326">
                  <c:v>-17.43513056606108</c:v>
                </c:pt>
                <c:pt idx="327">
                  <c:v>-17.653581343149064</c:v>
                </c:pt>
                <c:pt idx="328">
                  <c:v>-17.871717764905725</c:v>
                </c:pt>
                <c:pt idx="329">
                  <c:v>-18.089520259599642</c:v>
                </c:pt>
                <c:pt idx="330">
                  <c:v>-18.306969998297717</c:v>
                </c:pt>
                <c:pt idx="331">
                  <c:v>-18.524048929710588</c:v>
                </c:pt>
                <c:pt idx="332">
                  <c:v>-18.740739808112824</c:v>
                </c:pt>
                <c:pt idx="333">
                  <c:v>-18.957026214344708</c:v>
                </c:pt>
                <c:pt idx="334">
                  <c:v>-19.17289256998923</c:v>
                </c:pt>
                <c:pt idx="335">
                  <c:v>-19.388324144890301</c:v>
                </c:pt>
                <c:pt idx="336">
                  <c:v>-19.603307058246699</c:v>
                </c:pt>
                <c:pt idx="337">
                  <c:v>-19.817828273579771</c:v>
                </c:pt>
                <c:pt idx="338">
                  <c:v>-20.031875587930372</c:v>
                </c:pt>
                <c:pt idx="339">
                  <c:v>-20.245437615689688</c:v>
                </c:pt>
                <c:pt idx="340">
                  <c:v>-20.458503767510166</c:v>
                </c:pt>
                <c:pt idx="341">
                  <c:v>-20.671064224782405</c:v>
                </c:pt>
                <c:pt idx="342">
                  <c:v>-20.883109910186697</c:v>
                </c:pt>
                <c:pt idx="343">
                  <c:v>-21.094632454855589</c:v>
                </c:pt>
                <c:pt idx="344">
                  <c:v>-21.305624162698823</c:v>
                </c:pt>
                <c:pt idx="345">
                  <c:v>-21.516077972451573</c:v>
                </c:pt>
                <c:pt idx="346">
                  <c:v>-21.725987418015276</c:v>
                </c:pt>
                <c:pt idx="347">
                  <c:v>-21.935346587661808</c:v>
                </c:pt>
                <c:pt idx="348">
                  <c:v>-22.144150082673264</c:v>
                </c:pt>
                <c:pt idx="349">
                  <c:v>-22.352392975983733</c:v>
                </c:pt>
                <c:pt idx="350">
                  <c:v>-22.560070771389871</c:v>
                </c:pt>
                <c:pt idx="351">
                  <c:v>-22.767179363887973</c:v>
                </c:pt>
                <c:pt idx="352">
                  <c:v>-22.973715001697613</c:v>
                </c:pt>
                <c:pt idx="353">
                  <c:v>-23.179674250523536</c:v>
                </c:pt>
                <c:pt idx="354">
                  <c:v>-23.38505396061311</c:v>
                </c:pt>
                <c:pt idx="355">
                  <c:v>-23.589851237166997</c:v>
                </c:pt>
                <c:pt idx="356">
                  <c:v>-23.79406341466812</c:v>
                </c:pt>
                <c:pt idx="357">
                  <c:v>-23.997688035710819</c:v>
                </c:pt>
                <c:pt idx="358">
                  <c:v>-24.200722834923557</c:v>
                </c:pt>
                <c:pt idx="359">
                  <c:v>-24.403165728611285</c:v>
                </c:pt>
                <c:pt idx="360">
                  <c:v>-24.605014810769745</c:v>
                </c:pt>
                <c:pt idx="361">
                  <c:v>-24.806268356168786</c:v>
                </c:pt>
                <c:pt idx="362">
                  <c:v>-25.006924831251666</c:v>
                </c:pt>
                <c:pt idx="363">
                  <c:v>-25.206982913655736</c:v>
                </c:pt>
                <c:pt idx="364">
                  <c:v>-25.406441521232871</c:v>
                </c:pt>
                <c:pt idx="365">
                  <c:v>-25.605299851531523</c:v>
                </c:pt>
                <c:pt idx="366">
                  <c:v>-25.803557432798456</c:v>
                </c:pt>
                <c:pt idx="367">
                  <c:v>-26.001214187668374</c:v>
                </c:pt>
                <c:pt idx="368">
                  <c:v>-26.198270510836004</c:v>
                </c:pt>
                <c:pt idx="369">
                  <c:v>-26.394727362147528</c:v>
                </c:pt>
                <c:pt idx="370">
                  <c:v>-26.590586376707495</c:v>
                </c:pt>
                <c:pt idx="371">
                  <c:v>-26.78584999377518</c:v>
                </c:pt>
                <c:pt idx="372">
                  <c:v>-26.980521606423022</c:v>
                </c:pt>
                <c:pt idx="373">
                  <c:v>-27.174605734148255</c:v>
                </c:pt>
                <c:pt idx="374">
                  <c:v>-27.368108220867743</c:v>
                </c:pt>
                <c:pt idx="375">
                  <c:v>-27.56103646098952</c:v>
                </c:pt>
                <c:pt idx="376">
                  <c:v>-27.753399656537749</c:v>
                </c:pt>
                <c:pt idx="377">
                  <c:v>-27.94520910861538</c:v>
                </c:pt>
                <c:pt idx="378">
                  <c:v>-28.136478546812441</c:v>
                </c:pt>
                <c:pt idx="379">
                  <c:v>-28.327224500515712</c:v>
                </c:pt>
                <c:pt idx="380">
                  <c:v>-28.51746671643491</c:v>
                </c:pt>
                <c:pt idx="381">
                  <c:v>-28.707228627024705</c:v>
                </c:pt>
                <c:pt idx="382">
                  <c:v>-28.896537874859792</c:v>
                </c:pt>
                <c:pt idx="383">
                  <c:v>-29.085426898371438</c:v>
                </c:pt>
                <c:pt idx="384">
                  <c:v>-29.273933584696273</c:v>
                </c:pt>
                <c:pt idx="385">
                  <c:v>-29.462101995673727</c:v>
                </c:pt>
                <c:pt idx="386">
                  <c:v>-29.649983173253311</c:v>
                </c:pt>
                <c:pt idx="387">
                  <c:v>-29.837636030685701</c:v>
                </c:pt>
                <c:pt idx="388">
                  <c:v>-30.025128335847626</c:v>
                </c:pt>
                <c:pt idx="389">
                  <c:v>-30.212537792817642</c:v>
                </c:pt>
                <c:pt idx="390">
                  <c:v>-30.399953227332389</c:v>
                </c:pt>
                <c:pt idx="391">
                  <c:v>-30.587475880915925</c:v>
                </c:pt>
                <c:pt idx="392">
                  <c:v>-30.775220817194441</c:v>
                </c:pt>
                <c:pt idx="393">
                  <c:v>-30.963318442080624</c:v>
                </c:pt>
                <c:pt idx="394">
                  <c:v>-31.15191613698812</c:v>
                </c:pt>
                <c:pt idx="395">
                  <c:v>-31.341180000874608</c:v>
                </c:pt>
                <c:pt idx="396">
                  <c:v>-31.531296692546398</c:v>
                </c:pt>
                <c:pt idx="397">
                  <c:v>-31.722475359096379</c:v>
                </c:pt>
                <c:pt idx="398">
                  <c:v>-31.914949629425443</c:v>
                </c:pt>
                <c:pt idx="399">
                  <c:v>-32.108979643334983</c:v>
                </c:pt>
                <c:pt idx="400">
                  <c:v>-32.304854076532123</c:v>
                </c:pt>
                <c:pt idx="401">
                  <c:v>-32.502892110000523</c:v>
                </c:pt>
                <c:pt idx="402">
                  <c:v>-32.703445278561034</c:v>
                </c:pt>
                <c:pt idx="403">
                  <c:v>-32.906899118263752</c:v>
                </c:pt>
                <c:pt idx="404">
                  <c:v>-33.113674515886984</c:v>
                </c:pt>
                <c:pt idx="405">
                  <c:v>-33.324228646931225</c:v>
                </c:pt>
                <c:pt idx="406">
                  <c:v>-33.539055372074642</c:v>
                </c:pt>
                <c:pt idx="407">
                  <c:v>-33.75868494749762</c:v>
                </c:pt>
                <c:pt idx="408">
                  <c:v>-33.983682893630146</c:v>
                </c:pt>
                <c:pt idx="409">
                  <c:v>-34.214647861977369</c:v>
                </c:pt>
                <c:pt idx="410">
                  <c:v>-34.4522083433624</c:v>
                </c:pt>
                <c:pt idx="411">
                  <c:v>-34.697018075997022</c:v>
                </c:pt>
                <c:pt idx="412">
                  <c:v>-34.949750040949475</c:v>
                </c:pt>
                <c:pt idx="413">
                  <c:v>-35.211088978019006</c:v>
                </c:pt>
                <c:pt idx="414">
                  <c:v>-35.481722417921397</c:v>
                </c:pt>
                <c:pt idx="415">
                  <c:v>-35.762330306553721</c:v>
                </c:pt>
                <c:pt idx="416">
                  <c:v>-36.053573391336116</c:v>
                </c:pt>
                <c:pt idx="417">
                  <c:v>-36.356080642963789</c:v>
                </c:pt>
                <c:pt idx="418">
                  <c:v>-36.670436090474794</c:v>
                </c:pt>
                <c:pt idx="419">
                  <c:v>-36.997165543116381</c:v>
                </c:pt>
                <c:pt idx="420">
                  <c:v>-37.336723747490645</c:v>
                </c:pt>
                <c:pt idx="421">
                  <c:v>-37.689482571325357</c:v>
                </c:pt>
                <c:pt idx="422">
                  <c:v>-38.05572080632566</c:v>
                </c:pt>
                <c:pt idx="423">
                  <c:v>-38.435616136043876</c:v>
                </c:pt>
                <c:pt idx="424">
                  <c:v>-38.829239720112312</c:v>
                </c:pt>
                <c:pt idx="425">
                  <c:v>-39.236553709163495</c:v>
                </c:pt>
                <c:pt idx="426">
                  <c:v>-39.657411836938152</c:v>
                </c:pt>
                <c:pt idx="427">
                  <c:v>-40.091563053547112</c:v>
                </c:pt>
                <c:pt idx="428">
                  <c:v>-40.538657984978705</c:v>
                </c:pt>
                <c:pt idx="429">
                  <c:v>-40.998257846486261</c:v>
                </c:pt>
                <c:pt idx="430">
                  <c:v>-41.469845316048762</c:v>
                </c:pt>
                <c:pt idx="431">
                  <c:v>-41.952836798036515</c:v>
                </c:pt>
                <c:pt idx="432">
                  <c:v>-42.446595479778907</c:v>
                </c:pt>
                <c:pt idx="433">
                  <c:v>-42.950444602163529</c:v>
                </c:pt>
                <c:pt idx="434">
                  <c:v>-43.463680422178328</c:v>
                </c:pt>
                <c:pt idx="435">
                  <c:v>-43.98558442980071</c:v>
                </c:pt>
                <c:pt idx="436">
                  <c:v>-44.515434482078973</c:v>
                </c:pt>
                <c:pt idx="437">
                  <c:v>-45.052514622448008</c:v>
                </c:pt>
                <c:pt idx="438">
                  <c:v>-45.596123453884736</c:v>
                </c:pt>
                <c:pt idx="439">
                  <c:v>-46.145581023573747</c:v>
                </c:pt>
                <c:pt idx="440">
                  <c:v>-46.700234250151283</c:v>
                </c:pt>
                <c:pt idx="441">
                  <c:v>-47.259460980594213</c:v>
                </c:pt>
                <c:pt idx="442">
                  <c:v>-47.822672802661273</c:v>
                </c:pt>
                <c:pt idx="443">
                  <c:v>-48.389316762136261</c:v>
                </c:pt>
                <c:pt idx="444">
                  <c:v>-48.958876144379921</c:v>
                </c:pt>
                <c:pt idx="445">
                  <c:v>-49.530870479691259</c:v>
                </c:pt>
                <c:pt idx="446">
                  <c:v>-50.10485492444279</c:v>
                </c:pt>
                <c:pt idx="447">
                  <c:v>-50.680419157396813</c:v>
                </c:pt>
                <c:pt idx="448">
                  <c:v>-51.257185915120225</c:v>
                </c:pt>
                <c:pt idx="449">
                  <c:v>-51.834809273660369</c:v>
                </c:pt>
                <c:pt idx="450">
                  <c:v>-52.41297276685291</c:v>
                </c:pt>
                <c:pt idx="451">
                  <c:v>-52.991387415655915</c:v>
                </c:pt>
                <c:pt idx="452">
                  <c:v>-53.569789728285585</c:v>
                </c:pt>
                <c:pt idx="453">
                  <c:v>-54.14793971795315</c:v>
                </c:pt>
                <c:pt idx="454">
                  <c:v>-54.725618973776562</c:v>
                </c:pt>
                <c:pt idx="455">
                  <c:v>-55.302628810948349</c:v>
                </c:pt>
                <c:pt idx="456">
                  <c:v>-55.878788518368992</c:v>
                </c:pt>
                <c:pt idx="457">
                  <c:v>-56.453933715561348</c:v>
                </c:pt>
                <c:pt idx="458">
                  <c:v>-57.027914825570456</c:v>
                </c:pt>
                <c:pt idx="459">
                  <c:v>-57.600595666568957</c:v>
                </c:pt>
                <c:pt idx="460">
                  <c:v>-58.171852161828276</c:v>
                </c:pt>
                <c:pt idx="461">
                  <c:v>-58.741571165439368</c:v>
                </c:pt>
                <c:pt idx="462">
                  <c:v>-59.309649399518349</c:v>
                </c:pt>
                <c:pt idx="463">
                  <c:v>-59.875992497489605</c:v>
                </c:pt>
                <c:pt idx="464">
                  <c:v>-60.440514147295715</c:v>
                </c:pt>
                <c:pt idx="465">
                  <c:v>-61.003135327949209</c:v>
                </c:pt>
                <c:pt idx="466">
                  <c:v>-61.563783632645709</c:v>
                </c:pt>
                <c:pt idx="467">
                  <c:v>-62.122392671629882</c:v>
                </c:pt>
                <c:pt idx="468">
                  <c:v>-62.678901548120542</c:v>
                </c:pt>
                <c:pt idx="469">
                  <c:v>-63.233254400790628</c:v>
                </c:pt>
                <c:pt idx="470">
                  <c:v>-63.785400006560621</c:v>
                </c:pt>
                <c:pt idx="471">
                  <c:v>-64.335291437760446</c:v>
                </c:pt>
                <c:pt idx="472">
                  <c:v>-64.882885768033177</c:v>
                </c:pt>
                <c:pt idx="473">
                  <c:v>-65.428143821686177</c:v>
                </c:pt>
                <c:pt idx="474">
                  <c:v>-65.971029961523982</c:v>
                </c:pt>
                <c:pt idx="475">
                  <c:v>-66.511511910524504</c:v>
                </c:pt>
                <c:pt idx="476">
                  <c:v>-67.049560603036241</c:v>
                </c:pt>
                <c:pt idx="477">
                  <c:v>-67.585150061483958</c:v>
                </c:pt>
                <c:pt idx="478">
                  <c:v>-68.118257294861152</c:v>
                </c:pt>
                <c:pt idx="479">
                  <c:v>-68.648862215573658</c:v>
                </c:pt>
                <c:pt idx="480">
                  <c:v>-69.176947571467323</c:v>
                </c:pt>
                <c:pt idx="481">
                  <c:v>-69.702498890131778</c:v>
                </c:pt>
                <c:pt idx="482">
                  <c:v>-70.225504432825346</c:v>
                </c:pt>
                <c:pt idx="483">
                  <c:v>-70.745955155598722</c:v>
                </c:pt>
                <c:pt idx="484">
                  <c:v>-71.263844675433475</c:v>
                </c:pt>
                <c:pt idx="485">
                  <c:v>-71.779169239426693</c:v>
                </c:pt>
                <c:pt idx="486">
                  <c:v>-72.291927695274467</c:v>
                </c:pt>
                <c:pt idx="487">
                  <c:v>-72.802121461511391</c:v>
                </c:pt>
                <c:pt idx="488">
                  <c:v>-73.309754496162071</c:v>
                </c:pt>
                <c:pt idx="489">
                  <c:v>-73.814833262661224</c:v>
                </c:pt>
                <c:pt idx="490">
                  <c:v>-74.31736669207713</c:v>
                </c:pt>
                <c:pt idx="491">
                  <c:v>-74.817366140858766</c:v>
                </c:pt>
                <c:pt idx="492">
                  <c:v>-75.314845343493246</c:v>
                </c:pt>
                <c:pt idx="493">
                  <c:v>-75.809820359623203</c:v>
                </c:pt>
                <c:pt idx="494">
                  <c:v>-76.302309515329185</c:v>
                </c:pt>
                <c:pt idx="495">
                  <c:v>-76.7923333384188</c:v>
                </c:pt>
                <c:pt idx="496">
                  <c:v>-77.279914487704318</c:v>
                </c:pt>
                <c:pt idx="497">
                  <c:v>-77.765077676362012</c:v>
                </c:pt>
                <c:pt idx="498">
                  <c:v>-78.247849589584405</c:v>
                </c:pt>
                <c:pt idx="499">
                  <c:v>-78.728258796828428</c:v>
                </c:pt>
                <c:pt idx="500">
                  <c:v>-79.20633565904771</c:v>
                </c:pt>
                <c:pt idx="501">
                  <c:v>-79.682112231371704</c:v>
                </c:pt>
                <c:pt idx="502">
                  <c:v>-80.155622161751495</c:v>
                </c:pt>
                <c:pt idx="503">
                  <c:v>-80.626900586141346</c:v>
                </c:pt>
                <c:pt idx="504">
                  <c:v>-81.095984020819401</c:v>
                </c:pt>
                <c:pt idx="505">
                  <c:v>-81.562910252475149</c:v>
                </c:pt>
                <c:pt idx="506">
                  <c:v>-82.027718226704934</c:v>
                </c:pt>
                <c:pt idx="507">
                  <c:v>-82.49044793555727</c:v>
                </c:pt>
                <c:pt idx="508">
                  <c:v>-82.951140304765843</c:v>
                </c:pt>
                <c:pt idx="509">
                  <c:v>-83.409837081290718</c:v>
                </c:pt>
                <c:pt idx="510">
                  <c:v>-83.866580721766127</c:v>
                </c:pt>
                <c:pt idx="511">
                  <c:v>-84.32141428242349</c:v>
                </c:pt>
                <c:pt idx="512">
                  <c:v>-84.774381311023973</c:v>
                </c:pt>
                <c:pt idx="513">
                  <c:v>-85.225525741294504</c:v>
                </c:pt>
                <c:pt idx="514">
                  <c:v>-85.674891790318171</c:v>
                </c:pt>
                <c:pt idx="515">
                  <c:v>-86.122523859284911</c:v>
                </c:pt>
                <c:pt idx="516">
                  <c:v>-86.568466437959728</c:v>
                </c:pt>
                <c:pt idx="517">
                  <c:v>-87.012764013178298</c:v>
                </c:pt>
                <c:pt idx="518">
                  <c:v>-87.455460981631873</c:v>
                </c:pt>
                <c:pt idx="519">
                  <c:v>-87.896601567153425</c:v>
                </c:pt>
                <c:pt idx="520">
                  <c:v>-88.336229742673822</c:v>
                </c:pt>
                <c:pt idx="521">
                  <c:v>-88.774389156968709</c:v>
                </c:pt>
                <c:pt idx="522">
                  <c:v>-89.211123066276073</c:v>
                </c:pt>
                <c:pt idx="523">
                  <c:v>-89.646474270825394</c:v>
                </c:pt>
                <c:pt idx="524">
                  <c:v>-90.080485056279457</c:v>
                </c:pt>
                <c:pt idx="525">
                  <c:v>-90.51319714005615</c:v>
                </c:pt>
                <c:pt idx="526">
                  <c:v>-90.944651622472307</c:v>
                </c:pt>
                <c:pt idx="527">
                  <c:v>-91.374888942612387</c:v>
                </c:pt>
                <c:pt idx="528">
                  <c:v>-91.803948838812502</c:v>
                </c:pt>
                <c:pt idx="529">
                  <c:v>-92.231870313623787</c:v>
                </c:pt>
                <c:pt idx="530">
                  <c:v>-92.658691603095519</c:v>
                </c:pt>
                <c:pt idx="531">
                  <c:v>-93.084450150215261</c:v>
                </c:pt>
                <c:pt idx="532">
                  <c:v>-93.50918258232079</c:v>
                </c:pt>
                <c:pt idx="533">
                  <c:v>-93.932924692293369</c:v>
                </c:pt>
                <c:pt idx="534">
                  <c:v>-94.355711423334441</c:v>
                </c:pt>
                <c:pt idx="535">
                  <c:v>-94.777576857122909</c:v>
                </c:pt>
                <c:pt idx="536">
                  <c:v>-95.198554205146721</c:v>
                </c:pt>
                <c:pt idx="537">
                  <c:v>-95.618675803003299</c:v>
                </c:pt>
                <c:pt idx="538">
                  <c:v>-96.037973107464182</c:v>
                </c:pt>
                <c:pt idx="539">
                  <c:v>-96.456476696097667</c:v>
                </c:pt>
                <c:pt idx="540">
                  <c:v>-96.874216269254816</c:v>
                </c:pt>
                <c:pt idx="541">
                  <c:v>-97.291220654221675</c:v>
                </c:pt>
              </c:numCache>
            </c:numRef>
          </c:yVal>
          <c:smooth val="1"/>
          <c:extLst>
            <c:ext xmlns:c16="http://schemas.microsoft.com/office/drawing/2014/chart" uri="{C3380CC4-5D6E-409C-BE32-E72D297353CC}">
              <c16:uniqueId val="{00000000-D02D-472B-94D9-C55747D26791}"/>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D02D-472B-94D9-C55747D26791}"/>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02D-472B-94D9-C55747D26791}"/>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155.27311521160524</c:v>
                </c:pt>
              </c:numCache>
            </c:numRef>
          </c:xVal>
          <c:yVal>
            <c:numRef>
              <c:f>Loop_Modeling!$AT$11</c:f>
              <c:numCache>
                <c:formatCode>0.000</c:formatCode>
                <c:ptCount val="1"/>
                <c:pt idx="0">
                  <c:v>34.420416810487446</c:v>
                </c:pt>
              </c:numCache>
            </c:numRef>
          </c:yVal>
          <c:smooth val="0"/>
          <c:extLst>
            <c:ext xmlns:c16="http://schemas.microsoft.com/office/drawing/2014/chart" uri="{C3380CC4-5D6E-409C-BE32-E72D297353CC}">
              <c16:uniqueId val="{00000002-D02D-472B-94D9-C55747D26791}"/>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D02D-472B-94D9-C55747D26791}"/>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16389.572863080288</c:v>
                </c:pt>
              </c:numCache>
            </c:numRef>
          </c:xVal>
          <c:yVal>
            <c:numRef>
              <c:f>Loop_Modeling!$AT$9</c:f>
              <c:numCache>
                <c:formatCode>0.000</c:formatCode>
                <c:ptCount val="1"/>
                <c:pt idx="0">
                  <c:v>-16.219461439308557</c:v>
                </c:pt>
              </c:numCache>
            </c:numRef>
          </c:yVal>
          <c:smooth val="1"/>
          <c:extLst>
            <c:ext xmlns:c16="http://schemas.microsoft.com/office/drawing/2014/chart" uri="{C3380CC4-5D6E-409C-BE32-E72D297353CC}">
              <c16:uniqueId val="{00000004-D02D-472B-94D9-C55747D26791}"/>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D02D-472B-94D9-C55747D26791}"/>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02D-472B-94D9-C55747D26791}"/>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776365.57605802605</c:v>
                </c:pt>
              </c:numCache>
            </c:numRef>
          </c:xVal>
          <c:yVal>
            <c:numRef>
              <c:f>Loop_Modeling!$AT$10</c:f>
              <c:numCache>
                <c:formatCode>0.000</c:formatCode>
                <c:ptCount val="1"/>
                <c:pt idx="0">
                  <c:v>-73.313110081790583</c:v>
                </c:pt>
              </c:numCache>
            </c:numRef>
          </c:yVal>
          <c:smooth val="1"/>
          <c:extLst>
            <c:ext xmlns:c16="http://schemas.microsoft.com/office/drawing/2014/chart" uri="{C3380CC4-5D6E-409C-BE32-E72D297353CC}">
              <c16:uniqueId val="{00000006-D02D-472B-94D9-C55747D26791}"/>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02D-472B-94D9-C55747D2679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612.8179241919654</c:v>
                </c:pt>
              </c:numCache>
            </c:numRef>
          </c:xVal>
          <c:yVal>
            <c:numRef>
              <c:f>Loop_Modeling!$AT$12</c:f>
              <c:numCache>
                <c:formatCode>0.000</c:formatCode>
                <c:ptCount val="1"/>
                <c:pt idx="0">
                  <c:v>16.048184802312125</c:v>
                </c:pt>
              </c:numCache>
            </c:numRef>
          </c:yVal>
          <c:smooth val="1"/>
          <c:extLst>
            <c:ext xmlns:c16="http://schemas.microsoft.com/office/drawing/2014/chart" uri="{C3380CC4-5D6E-409C-BE32-E72D297353CC}">
              <c16:uniqueId val="{00000008-D02D-472B-94D9-C55747D26791}"/>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D02D-472B-94D9-C55747D26791}"/>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13252.187610651252</c:v>
                </c:pt>
              </c:numCache>
            </c:numRef>
          </c:xVal>
          <c:yVal>
            <c:numRef>
              <c:f>Loop_Modeling!$AT$13</c:f>
              <c:numCache>
                <c:formatCode>0.000</c:formatCode>
                <c:ptCount val="1"/>
                <c:pt idx="0">
                  <c:v>-14.186014590105804</c:v>
                </c:pt>
              </c:numCache>
            </c:numRef>
          </c:yVal>
          <c:smooth val="1"/>
          <c:extLst>
            <c:ext xmlns:c16="http://schemas.microsoft.com/office/drawing/2014/chart" uri="{C3380CC4-5D6E-409C-BE32-E72D297353CC}">
              <c16:uniqueId val="{0000000A-D02D-472B-94D9-C55747D26791}"/>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87.103069008043619</c:v>
                </c:pt>
                <c:pt idx="1">
                  <c:v>87.035848761962512</c:v>
                </c:pt>
                <c:pt idx="2">
                  <c:v>86.967081133007667</c:v>
                </c:pt>
                <c:pt idx="3">
                  <c:v>86.896731383832375</c:v>
                </c:pt>
                <c:pt idx="4">
                  <c:v>86.824764060310002</c:v>
                </c:pt>
                <c:pt idx="5">
                  <c:v>86.751142981317955</c:v>
                </c:pt>
                <c:pt idx="6">
                  <c:v>86.675831228732278</c:v>
                </c:pt>
                <c:pt idx="7">
                  <c:v>86.598791137667575</c:v>
                </c:pt>
                <c:pt idx="8">
                  <c:v>86.519984287000739</c:v>
                </c:pt>
                <c:pt idx="9">
                  <c:v>86.439371490218605</c:v>
                </c:pt>
                <c:pt idx="10">
                  <c:v>86.356912786634425</c:v>
                </c:pt>
                <c:pt idx="11">
                  <c:v>86.27256743301966</c:v>
                </c:pt>
                <c:pt idx="12">
                  <c:v>86.186293895702633</c:v>
                </c:pt>
                <c:pt idx="13">
                  <c:v>86.098049843188164</c:v>
                </c:pt>
                <c:pt idx="14">
                  <c:v>86.007792139357178</c:v>
                </c:pt>
                <c:pt idx="15">
                  <c:v>85.915476837309043</c:v>
                </c:pt>
                <c:pt idx="16">
                  <c:v>85.821059173913881</c:v>
                </c:pt>
                <c:pt idx="17">
                  <c:v>85.724493565146588</c:v>
                </c:pt>
                <c:pt idx="18">
                  <c:v>85.625733602280846</c:v>
                </c:pt>
                <c:pt idx="19">
                  <c:v>85.524732049023399</c:v>
                </c:pt>
                <c:pt idx="20">
                  <c:v>85.421440839678496</c:v>
                </c:pt>
                <c:pt idx="21">
                  <c:v>85.315811078435232</c:v>
                </c:pt>
                <c:pt idx="22">
                  <c:v>85.207793039878354</c:v>
                </c:pt>
                <c:pt idx="23">
                  <c:v>85.097336170827347</c:v>
                </c:pt>
                <c:pt idx="24">
                  <c:v>84.984389093620109</c:v>
                </c:pt>
                <c:pt idx="25">
                  <c:v>84.86889961095801</c:v>
                </c:pt>
                <c:pt idx="26">
                  <c:v>84.750814712443997</c:v>
                </c:pt>
                <c:pt idx="27">
                  <c:v>84.630080582945752</c:v>
                </c:pt>
                <c:pt idx="28">
                  <c:v>84.506642612930946</c:v>
                </c:pt>
                <c:pt idx="29">
                  <c:v>84.380445410924906</c:v>
                </c:pt>
                <c:pt idx="30">
                  <c:v>84.251432818253178</c:v>
                </c:pt>
                <c:pt idx="31">
                  <c:v>84.119547926238468</c:v>
                </c:pt>
                <c:pt idx="32">
                  <c:v>83.984733096032812</c:v>
                </c:pt>
                <c:pt idx="33">
                  <c:v>83.846929981273689</c:v>
                </c:pt>
                <c:pt idx="34">
                  <c:v>83.706079553764965</c:v>
                </c:pt>
                <c:pt idx="35">
                  <c:v>83.562122132391465</c:v>
                </c:pt>
                <c:pt idx="36">
                  <c:v>83.414997415489495</c:v>
                </c:pt>
                <c:pt idx="37">
                  <c:v>83.264644516903459</c:v>
                </c:pt>
                <c:pt idx="38">
                  <c:v>83.11100200597113</c:v>
                </c:pt>
                <c:pt idx="39">
                  <c:v>82.954007951693455</c:v>
                </c:pt>
                <c:pt idx="40">
                  <c:v>82.79359997134938</c:v>
                </c:pt>
                <c:pt idx="41">
                  <c:v>82.629715283835154</c:v>
                </c:pt>
                <c:pt idx="42">
                  <c:v>82.462290768012977</c:v>
                </c:pt>
                <c:pt idx="43">
                  <c:v>82.291263026367787</c:v>
                </c:pt>
                <c:pt idx="44">
                  <c:v>82.116568454278422</c:v>
                </c:pt>
                <c:pt idx="45">
                  <c:v>81.938143315223542</c:v>
                </c:pt>
                <c:pt idx="46">
                  <c:v>81.755923822249159</c:v>
                </c:pt>
                <c:pt idx="47">
                  <c:v>81.569846226033761</c:v>
                </c:pt>
                <c:pt idx="48">
                  <c:v>81.379846909897651</c:v>
                </c:pt>
                <c:pt idx="49">
                  <c:v>81.185862492107219</c:v>
                </c:pt>
                <c:pt idx="50">
                  <c:v>80.987829935831684</c:v>
                </c:pt>
                <c:pt idx="51">
                  <c:v>80.785686667114561</c:v>
                </c:pt>
                <c:pt idx="52">
                  <c:v>80.579370701226395</c:v>
                </c:pt>
                <c:pt idx="53">
                  <c:v>80.368820777760689</c:v>
                </c:pt>
                <c:pt idx="54">
                  <c:v>80.153976504840259</c:v>
                </c:pt>
                <c:pt idx="55">
                  <c:v>79.93477851279313</c:v>
                </c:pt>
                <c:pt idx="56">
                  <c:v>79.711168617650216</c:v>
                </c:pt>
                <c:pt idx="57">
                  <c:v>79.48308999480922</c:v>
                </c:pt>
                <c:pt idx="58">
                  <c:v>79.250487363192931</c:v>
                </c:pt>
                <c:pt idx="59">
                  <c:v>79.013307180215079</c:v>
                </c:pt>
                <c:pt idx="60">
                  <c:v>78.771497847841871</c:v>
                </c:pt>
                <c:pt idx="61">
                  <c:v>78.525009930013454</c:v>
                </c:pt>
                <c:pt idx="62">
                  <c:v>78.273796381656467</c:v>
                </c:pt>
                <c:pt idx="63">
                  <c:v>78.017812789479422</c:v>
                </c:pt>
                <c:pt idx="64">
                  <c:v>77.757017624701902</c:v>
                </c:pt>
                <c:pt idx="65">
                  <c:v>77.491372507816322</c:v>
                </c:pt>
                <c:pt idx="66">
                  <c:v>77.220842485423347</c:v>
                </c:pt>
                <c:pt idx="67">
                  <c:v>76.945396319118927</c:v>
                </c:pt>
                <c:pt idx="68">
                  <c:v>76.665006786337571</c:v>
                </c:pt>
                <c:pt idx="69">
                  <c:v>76.379650992975442</c:v>
                </c:pt>
                <c:pt idx="70">
                  <c:v>76.089310697527665</c:v>
                </c:pt>
                <c:pt idx="71">
                  <c:v>75.79397264637953</c:v>
                </c:pt>
                <c:pt idx="72">
                  <c:v>75.493628919779013</c:v>
                </c:pt>
                <c:pt idx="73">
                  <c:v>75.188277287909941</c:v>
                </c:pt>
                <c:pt idx="74">
                  <c:v>74.877921576354012</c:v>
                </c:pt>
                <c:pt idx="75">
                  <c:v>74.562572040103078</c:v>
                </c:pt>
                <c:pt idx="76">
                  <c:v>74.242245745136159</c:v>
                </c:pt>
                <c:pt idx="77">
                  <c:v>73.916966956434692</c:v>
                </c:pt>
                <c:pt idx="78">
                  <c:v>73.586767531143721</c:v>
                </c:pt>
                <c:pt idx="79">
                  <c:v>73.251687315430985</c:v>
                </c:pt>
                <c:pt idx="80">
                  <c:v>72.91177454342899</c:v>
                </c:pt>
                <c:pt idx="81">
                  <c:v>72.567086236467318</c:v>
                </c:pt>
                <c:pt idx="82">
                  <c:v>72.217688600633721</c:v>
                </c:pt>
                <c:pt idx="83">
                  <c:v>71.863657420527545</c:v>
                </c:pt>
                <c:pt idx="84">
                  <c:v>71.505078446889257</c:v>
                </c:pt>
                <c:pt idx="85">
                  <c:v>71.142047775632847</c:v>
                </c:pt>
                <c:pt idx="86">
                  <c:v>70.774672215628314</c:v>
                </c:pt>
                <c:pt idx="87">
                  <c:v>70.403069642441238</c:v>
                </c:pt>
                <c:pt idx="88">
                  <c:v>70.027369335081119</c:v>
                </c:pt>
                <c:pt idx="89">
                  <c:v>69.647712292693711</c:v>
                </c:pt>
                <c:pt idx="90">
                  <c:v>69.264251528010362</c:v>
                </c:pt>
                <c:pt idx="91">
                  <c:v>68.87715233428915</c:v>
                </c:pt>
                <c:pt idx="92">
                  <c:v>68.486592522412465</c:v>
                </c:pt>
                <c:pt idx="93">
                  <c:v>68.092762624772021</c:v>
                </c:pt>
                <c:pt idx="94">
                  <c:v>67.695866062564789</c:v>
                </c:pt>
                <c:pt idx="95">
                  <c:v>67.296119273159633</c:v>
                </c:pt>
                <c:pt idx="96">
                  <c:v>66.893751794252466</c:v>
                </c:pt>
                <c:pt idx="97">
                  <c:v>66.489006301639691</c:v>
                </c:pt>
                <c:pt idx="98">
                  <c:v>66.082138597584361</c:v>
                </c:pt>
                <c:pt idx="99">
                  <c:v>65.67341754693939</c:v>
                </c:pt>
                <c:pt idx="100">
                  <c:v>65.2631249584269</c:v>
                </c:pt>
                <c:pt idx="101">
                  <c:v>64.851555408745099</c:v>
                </c:pt>
                <c:pt idx="102">
                  <c:v>64.439016007497699</c:v>
                </c:pt>
                <c:pt idx="103">
                  <c:v>64.02582610129781</c:v>
                </c:pt>
                <c:pt idx="104">
                  <c:v>63.612316915796164</c:v>
                </c:pt>
                <c:pt idx="105">
                  <c:v>63.198831134818185</c:v>
                </c:pt>
                <c:pt idx="106">
                  <c:v>62.785722416257059</c:v>
                </c:pt>
                <c:pt idx="107">
                  <c:v>62.373354844858632</c:v>
                </c:pt>
                <c:pt idx="108">
                  <c:v>61.962102322546201</c:v>
                </c:pt>
                <c:pt idx="109">
                  <c:v>61.552347897447937</c:v>
                </c:pt>
                <c:pt idx="110">
                  <c:v>61.144483033327539</c:v>
                </c:pt>
                <c:pt idx="111">
                  <c:v>60.738906821632575</c:v>
                </c:pt>
                <c:pt idx="112">
                  <c:v>60.336025138900439</c:v>
                </c:pt>
                <c:pt idx="113">
                  <c:v>59.936249752751614</c:v>
                </c:pt>
                <c:pt idx="114">
                  <c:v>59.539997380174654</c:v>
                </c:pt>
                <c:pt idx="115">
                  <c:v>59.147688702242014</c:v>
                </c:pt>
                <c:pt idx="116">
                  <c:v>58.75974733979232</c:v>
                </c:pt>
                <c:pt idx="117">
                  <c:v>58.376598794959733</c:v>
                </c:pt>
                <c:pt idx="118">
                  <c:v>57.998669363724531</c:v>
                </c:pt>
                <c:pt idx="119">
                  <c:v>57.626385024893587</c:v>
                </c:pt>
                <c:pt idx="120">
                  <c:v>57.260170311090498</c:v>
                </c:pt>
                <c:pt idx="121">
                  <c:v>56.900447167436567</c:v>
                </c:pt>
                <c:pt idx="122">
                  <c:v>56.547633803654605</c:v>
                </c:pt>
                <c:pt idx="123">
                  <c:v>56.202143545286887</c:v>
                </c:pt>
                <c:pt idx="124">
                  <c:v>55.864383689643091</c:v>
                </c:pt>
                <c:pt idx="125">
                  <c:v>55.534754371930575</c:v>
                </c:pt>
                <c:pt idx="126">
                  <c:v>55.213647446818534</c:v>
                </c:pt>
                <c:pt idx="127">
                  <c:v>54.901445390427106</c:v>
                </c:pt>
                <c:pt idx="128">
                  <c:v>54.598520227422682</c:v>
                </c:pt>
                <c:pt idx="129">
                  <c:v>54.305232487558456</c:v>
                </c:pt>
                <c:pt idx="130">
                  <c:v>54.02193019563606</c:v>
                </c:pt>
                <c:pt idx="131">
                  <c:v>53.748947898453153</c:v>
                </c:pt>
                <c:pt idx="132">
                  <c:v>53.486605731903026</c:v>
                </c:pt>
                <c:pt idx="133">
                  <c:v>53.235208530978142</c:v>
                </c:pt>
                <c:pt idx="134">
                  <c:v>52.99504498501701</c:v>
                </c:pt>
                <c:pt idx="135">
                  <c:v>52.766386840131403</c:v>
                </c:pt>
                <c:pt idx="136">
                  <c:v>52.549488150379595</c:v>
                </c:pt>
                <c:pt idx="137">
                  <c:v>52.344584578880479</c:v>
                </c:pt>
                <c:pt idx="138">
                  <c:v>52.151892749750765</c:v>
                </c:pt>
                <c:pt idx="139">
                  <c:v>51.971609651446222</c:v>
                </c:pt>
                <c:pt idx="140">
                  <c:v>51.803912091836473</c:v>
                </c:pt>
                <c:pt idx="141">
                  <c:v>51.64895620513596</c:v>
                </c:pt>
                <c:pt idx="142">
                  <c:v>51.506877010630333</c:v>
                </c:pt>
                <c:pt idx="143">
                  <c:v>51.377788023020706</c:v>
                </c:pt>
                <c:pt idx="144">
                  <c:v>51.261780914109067</c:v>
                </c:pt>
                <c:pt idx="145">
                  <c:v>51.158925225503104</c:v>
                </c:pt>
                <c:pt idx="146">
                  <c:v>51.069268132004495</c:v>
                </c:pt>
                <c:pt idx="147">
                  <c:v>50.992834255351887</c:v>
                </c:pt>
                <c:pt idx="148">
                  <c:v>50.929625528051361</c:v>
                </c:pt>
                <c:pt idx="149">
                  <c:v>50.879621107069752</c:v>
                </c:pt>
                <c:pt idx="150">
                  <c:v>50.842777337261701</c:v>
                </c:pt>
                <c:pt idx="151">
                  <c:v>50.81902776448598</c:v>
                </c:pt>
                <c:pt idx="152">
                  <c:v>50.808283198458469</c:v>
                </c:pt>
                <c:pt idx="153">
                  <c:v>50.810431825474105</c:v>
                </c:pt>
                <c:pt idx="154">
                  <c:v>50.825339371216103</c:v>
                </c:pt>
                <c:pt idx="155">
                  <c:v>50.85284931392529</c:v>
                </c:pt>
                <c:pt idx="156">
                  <c:v>50.892783148242827</c:v>
                </c:pt>
                <c:pt idx="157">
                  <c:v>50.944940700056932</c:v>
                </c:pt>
                <c:pt idx="158">
                  <c:v>51.009100492655506</c:v>
                </c:pt>
                <c:pt idx="159">
                  <c:v>51.085020164436429</c:v>
                </c:pt>
                <c:pt idx="160">
                  <c:v>51.172436938333014</c:v>
                </c:pt>
                <c:pt idx="161">
                  <c:v>51.27106814296836</c:v>
                </c:pt>
                <c:pt idx="162">
                  <c:v>51.380611785383643</c:v>
                </c:pt>
                <c:pt idx="163">
                  <c:v>51.500747174960473</c:v>
                </c:pt>
                <c:pt idx="164">
                  <c:v>51.631135597899224</c:v>
                </c:pt>
                <c:pt idx="165">
                  <c:v>51.77142104131898</c:v>
                </c:pt>
                <c:pt idx="166">
                  <c:v>51.921230965712965</c:v>
                </c:pt>
                <c:pt idx="167">
                  <c:v>52.080177124129811</c:v>
                </c:pt>
                <c:pt idx="168">
                  <c:v>52.247856426073291</c:v>
                </c:pt>
                <c:pt idx="169">
                  <c:v>52.423851843706345</c:v>
                </c:pt>
                <c:pt idx="170">
                  <c:v>52.607733357533803</c:v>
                </c:pt>
                <c:pt idx="171">
                  <c:v>52.799058938330894</c:v>
                </c:pt>
                <c:pt idx="172">
                  <c:v>52.997375561671561</c:v>
                </c:pt>
                <c:pt idx="173">
                  <c:v>53.20222025102273</c:v>
                </c:pt>
                <c:pt idx="174">
                  <c:v>53.413121145000964</c:v>
                </c:pt>
                <c:pt idx="175">
                  <c:v>53.629598584051934</c:v>
                </c:pt>
                <c:pt idx="176">
                  <c:v>53.85116621151213</c:v>
                </c:pt>
                <c:pt idx="177">
                  <c:v>54.077332083765668</c:v>
                </c:pt>
                <c:pt idx="178">
                  <c:v>54.307599784006491</c:v>
                </c:pt>
                <c:pt idx="179">
                  <c:v>54.541469533976468</c:v>
                </c:pt>
                <c:pt idx="180">
                  <c:v>54.778439297969513</c:v>
                </c:pt>
                <c:pt idx="181">
                  <c:v>55.018005873378911</c:v>
                </c:pt>
                <c:pt idx="182">
                  <c:v>55.259665962116451</c:v>
                </c:pt>
                <c:pt idx="183">
                  <c:v>55.50291721734726</c:v>
                </c:pt>
                <c:pt idx="184">
                  <c:v>55.747259260168164</c:v>
                </c:pt>
                <c:pt idx="185">
                  <c:v>55.992194661102914</c:v>
                </c:pt>
                <c:pt idx="186">
                  <c:v>56.237229881590423</c:v>
                </c:pt>
                <c:pt idx="187">
                  <c:v>56.481876170995882</c:v>
                </c:pt>
                <c:pt idx="188">
                  <c:v>56.725650415081432</c:v>
                </c:pt>
                <c:pt idx="189">
                  <c:v>56.968075932317682</c:v>
                </c:pt>
                <c:pt idx="190">
                  <c:v>57.208683214891067</c:v>
                </c:pt>
                <c:pt idx="191">
                  <c:v>57.447010611767936</c:v>
                </c:pt>
                <c:pt idx="192">
                  <c:v>57.682604951694977</c:v>
                </c:pt>
                <c:pt idx="193">
                  <c:v>57.91502210454442</c:v>
                </c:pt>
                <c:pt idx="194">
                  <c:v>58.143827479941415</c:v>
                </c:pt>
                <c:pt idx="195">
                  <c:v>58.368596462635601</c:v>
                </c:pt>
                <c:pt idx="196">
                  <c:v>58.588914784584951</c:v>
                </c:pt>
                <c:pt idx="197">
                  <c:v>58.804378834213999</c:v>
                </c:pt>
                <c:pt idx="198">
                  <c:v>59.014595903766327</c:v>
                </c:pt>
                <c:pt idx="199">
                  <c:v>59.219184376104849</c:v>
                </c:pt>
                <c:pt idx="200">
                  <c:v>59.417773852709132</c:v>
                </c:pt>
                <c:pt idx="201">
                  <c:v>59.610005224980327</c:v>
                </c:pt>
                <c:pt idx="202">
                  <c:v>59.795530691270599</c:v>
                </c:pt>
                <c:pt idx="203">
                  <c:v>59.974013722344147</c:v>
                </c:pt>
                <c:pt idx="204">
                  <c:v>60.145128978192361</c:v>
                </c:pt>
                <c:pt idx="205">
                  <c:v>60.308562179324355</c:v>
                </c:pt>
                <c:pt idx="206">
                  <c:v>60.464009935798757</c:v>
                </c:pt>
                <c:pt idx="207">
                  <c:v>60.611179537361231</c:v>
                </c:pt>
                <c:pt idx="208">
                  <c:v>60.749788708135334</c:v>
                </c:pt>
                <c:pt idx="209">
                  <c:v>60.879565329320776</c:v>
                </c:pt>
                <c:pt idx="210">
                  <c:v>61.000247133380178</c:v>
                </c:pt>
                <c:pt idx="211">
                  <c:v>61.111581373136204</c:v>
                </c:pt>
                <c:pt idx="212">
                  <c:v>61.213324469158685</c:v>
                </c:pt>
                <c:pt idx="213">
                  <c:v>61.305241638729377</c:v>
                </c:pt>
                <c:pt idx="214">
                  <c:v>61.387106509571787</c:v>
                </c:pt>
                <c:pt idx="215">
                  <c:v>61.458700721411361</c:v>
                </c:pt>
                <c:pt idx="216">
                  <c:v>61.519813518294491</c:v>
                </c:pt>
                <c:pt idx="217">
                  <c:v>61.570241334456952</c:v>
                </c:pt>
                <c:pt idx="218">
                  <c:v>61.609787376365766</c:v>
                </c:pt>
                <c:pt idx="219">
                  <c:v>61.638261203418296</c:v>
                </c:pt>
                <c:pt idx="220">
                  <c:v>61.655478309601456</c:v>
                </c:pt>
                <c:pt idx="221">
                  <c:v>61.661259708268382</c:v>
                </c:pt>
                <c:pt idx="222">
                  <c:v>61.655431522025133</c:v>
                </c:pt>
                <c:pt idx="223">
                  <c:v>61.637824579557247</c:v>
                </c:pt>
                <c:pt idx="224">
                  <c:v>61.608274021085236</c:v>
                </c:pt>
                <c:pt idx="225">
                  <c:v>61.566618913987448</c:v>
                </c:pt>
                <c:pt idx="226">
                  <c:v>61.512701879983993</c:v>
                </c:pt>
                <c:pt idx="227">
                  <c:v>61.446368735160902</c:v>
                </c:pt>
                <c:pt idx="228">
                  <c:v>61.367468143975145</c:v>
                </c:pt>
                <c:pt idx="229">
                  <c:v>61.275851288278659</c:v>
                </c:pt>
                <c:pt idx="230">
                  <c:v>61.171371552293245</c:v>
                </c:pt>
                <c:pt idx="231">
                  <c:v>61.053884224372034</c:v>
                </c:pt>
                <c:pt idx="232">
                  <c:v>60.923246216302779</c:v>
                </c:pt>
                <c:pt idx="233">
                  <c:v>60.77931580082452</c:v>
                </c:pt>
                <c:pt idx="234">
                  <c:v>60.621952367976469</c:v>
                </c:pt>
                <c:pt idx="235">
                  <c:v>60.451016200821854</c:v>
                </c:pt>
                <c:pt idx="236">
                  <c:v>60.266368271055264</c:v>
                </c:pt>
                <c:pt idx="237">
                  <c:v>60.067870054952181</c:v>
                </c:pt>
                <c:pt idx="238">
                  <c:v>59.855383370087246</c:v>
                </c:pt>
                <c:pt idx="239">
                  <c:v>59.62877023321434</c:v>
                </c:pt>
                <c:pt idx="240">
                  <c:v>59.38789273969261</c:v>
                </c:pt>
                <c:pt idx="241">
                  <c:v>59.132612964806981</c:v>
                </c:pt>
                <c:pt idx="242">
                  <c:v>58.862792887339474</c:v>
                </c:pt>
                <c:pt idx="243">
                  <c:v>58.578294335723911</c:v>
                </c:pt>
                <c:pt idx="244">
                  <c:v>58.278978957122433</c:v>
                </c:pt>
                <c:pt idx="245">
                  <c:v>57.964708209755287</c:v>
                </c:pt>
                <c:pt idx="246">
                  <c:v>57.635343378817545</c:v>
                </c:pt>
                <c:pt idx="247">
                  <c:v>57.290745616314126</c:v>
                </c:pt>
                <c:pt idx="248">
                  <c:v>56.930776005153255</c:v>
                </c:pt>
                <c:pt idx="249">
                  <c:v>56.555295647828899</c:v>
                </c:pt>
                <c:pt idx="250">
                  <c:v>56.164165780030977</c:v>
                </c:pt>
                <c:pt idx="251">
                  <c:v>55.757247909515783</c:v>
                </c:pt>
                <c:pt idx="252">
                  <c:v>55.334403980562492</c:v>
                </c:pt>
                <c:pt idx="253">
                  <c:v>54.895496564335915</c:v>
                </c:pt>
                <c:pt idx="254">
                  <c:v>54.44038907545356</c:v>
                </c:pt>
                <c:pt idx="255">
                  <c:v>53.968946015046917</c:v>
                </c:pt>
                <c:pt idx="256">
                  <c:v>53.481033240569801</c:v>
                </c:pt>
                <c:pt idx="257">
                  <c:v>52.976518262574466</c:v>
                </c:pt>
                <c:pt idx="258">
                  <c:v>52.455270568642497</c:v>
                </c:pt>
                <c:pt idx="259">
                  <c:v>51.917161974591131</c:v>
                </c:pt>
                <c:pt idx="260">
                  <c:v>51.362067003028429</c:v>
                </c:pt>
                <c:pt idx="261">
                  <c:v>50.789863289247961</c:v>
                </c:pt>
                <c:pt idx="262">
                  <c:v>50.200432014374627</c:v>
                </c:pt>
                <c:pt idx="263">
                  <c:v>49.59365836557037</c:v>
                </c:pt>
                <c:pt idx="264">
                  <c:v>48.969432023005155</c:v>
                </c:pt>
                <c:pt idx="265">
                  <c:v>48.327647673168556</c:v>
                </c:pt>
                <c:pt idx="266">
                  <c:v>47.668205547957399</c:v>
                </c:pt>
                <c:pt idx="267">
                  <c:v>46.991011988825832</c:v>
                </c:pt>
                <c:pt idx="268">
                  <c:v>46.29598003510776</c:v>
                </c:pt>
                <c:pt idx="269">
                  <c:v>45.583030035443848</c:v>
                </c:pt>
                <c:pt idx="270">
                  <c:v>44.852090281036716</c:v>
                </c:pt>
                <c:pt idx="271">
                  <c:v>44.103097659248824</c:v>
                </c:pt>
                <c:pt idx="272">
                  <c:v>43.335998325824846</c:v>
                </c:pt>
                <c:pt idx="273">
                  <c:v>42.55074839377415</c:v>
                </c:pt>
                <c:pt idx="274">
                  <c:v>41.747314636697929</c:v>
                </c:pt>
                <c:pt idx="275">
                  <c:v>40.925675204069535</c:v>
                </c:pt>
                <c:pt idx="276">
                  <c:v>40.085820345705208</c:v>
                </c:pt>
                <c:pt idx="277">
                  <c:v>39.227753142375818</c:v>
                </c:pt>
                <c:pt idx="278">
                  <c:v>38.351490239217348</c:v>
                </c:pt>
                <c:pt idx="279">
                  <c:v>37.457062578310399</c:v>
                </c:pt>
                <c:pt idx="280">
                  <c:v>36.54451612650309</c:v>
                </c:pt>
                <c:pt idx="281">
                  <c:v>35.613912594272122</c:v>
                </c:pt>
                <c:pt idx="282">
                  <c:v>34.665330141133275</c:v>
                </c:pt>
                <c:pt idx="283">
                  <c:v>33.698864062859485</c:v>
                </c:pt>
                <c:pt idx="284">
                  <c:v>32.714627455503674</c:v>
                </c:pt>
                <c:pt idx="285">
                  <c:v>31.712751851021956</c:v>
                </c:pt>
                <c:pt idx="286">
                  <c:v>30.693387819089203</c:v>
                </c:pt>
                <c:pt idx="287">
                  <c:v>29.656705529529962</c:v>
                </c:pt>
                <c:pt idx="288">
                  <c:v>28.60289526969801</c:v>
                </c:pt>
                <c:pt idx="289">
                  <c:v>27.53216791102767</c:v>
                </c:pt>
                <c:pt idx="290">
                  <c:v>26.444755318984278</c:v>
                </c:pt>
                <c:pt idx="291">
                  <c:v>25.34091070065265</c:v>
                </c:pt>
                <c:pt idx="292">
                  <c:v>24.220908884302428</c:v>
                </c:pt>
                <c:pt idx="293">
                  <c:v>23.085046525423433</c:v>
                </c:pt>
                <c:pt idx="294">
                  <c:v>21.933642233930705</c:v>
                </c:pt>
                <c:pt idx="295">
                  <c:v>20.767036617552911</c:v>
                </c:pt>
                <c:pt idx="296">
                  <c:v>19.585592236752177</c:v>
                </c:pt>
                <c:pt idx="297">
                  <c:v>18.389693466980315</c:v>
                </c:pt>
                <c:pt idx="298">
                  <c:v>17.179746264560141</c:v>
                </c:pt>
                <c:pt idx="299">
                  <c:v>15.956177833065546</c:v>
                </c:pt>
                <c:pt idx="300">
                  <c:v>14.719436187713198</c:v>
                </c:pt>
                <c:pt idx="301">
                  <c:v>13.469989615967558</c:v>
                </c:pt>
                <c:pt idx="302">
                  <c:v>12.208326033331431</c:v>
                </c:pt>
                <c:pt idx="303">
                  <c:v>10.934952234088442</c:v>
                </c:pt>
                <c:pt idx="304">
                  <c:v>9.6503930376120763</c:v>
                </c:pt>
                <c:pt idx="305">
                  <c:v>8.3551903317297942</c:v>
                </c:pt>
                <c:pt idx="306">
                  <c:v>7.0499020155254941</c:v>
                </c:pt>
                <c:pt idx="307">
                  <c:v>5.7351008448589953</c:v>
                </c:pt>
                <c:pt idx="308">
                  <c:v>4.4113731847913522</c:v>
                </c:pt>
                <c:pt idx="309">
                  <c:v>3.0793176739717381</c:v>
                </c:pt>
                <c:pt idx="310">
                  <c:v>1.7395438068986973</c:v>
                </c:pt>
                <c:pt idx="311">
                  <c:v>0.39267044077040897</c:v>
                </c:pt>
                <c:pt idx="312">
                  <c:v>-0.96067576560016821</c:v>
                </c:pt>
                <c:pt idx="313">
                  <c:v>-2.3198619726652541</c:v>
                </c:pt>
                <c:pt idx="314">
                  <c:v>-3.6842508320508771</c:v>
                </c:pt>
                <c:pt idx="315">
                  <c:v>-5.0532022002315067</c:v>
                </c:pt>
                <c:pt idx="316">
                  <c:v>-6.4260748842868356</c:v>
                </c:pt>
                <c:pt idx="317">
                  <c:v>-7.8022284097306827</c:v>
                </c:pt>
                <c:pt idx="318">
                  <c:v>-9.1810248002305013</c:v>
                </c:pt>
                <c:pt idx="319">
                  <c:v>-10.561830358922375</c:v>
                </c:pt>
                <c:pt idx="320">
                  <c:v>-11.944017441066627</c:v>
                </c:pt>
                <c:pt idx="321">
                  <c:v>-13.326966207941126</c:v>
                </c:pt>
                <c:pt idx="322">
                  <c:v>-14.710066352116582</c:v>
                </c:pt>
                <c:pt idx="323">
                  <c:v>-16.092718784636929</c:v>
                </c:pt>
                <c:pt idx="324">
                  <c:v>-17.474337275095834</c:v>
                </c:pt>
                <c:pt idx="325">
                  <c:v>-18.85435003615828</c:v>
                </c:pt>
                <c:pt idx="326">
                  <c:v>-20.232201244760304</c:v>
                </c:pt>
                <c:pt idx="327">
                  <c:v>-21.607352492910888</c:v>
                </c:pt>
                <c:pt idx="328">
                  <c:v>-22.979284161852178</c:v>
                </c:pt>
                <c:pt idx="329">
                  <c:v>-24.347496714165416</c:v>
                </c:pt>
                <c:pt idx="330">
                  <c:v>-25.711511899291036</c:v>
                </c:pt>
                <c:pt idx="331">
                  <c:v>-27.070873868875879</c:v>
                </c:pt>
                <c:pt idx="332">
                  <c:v>-28.425150199260347</c:v>
                </c:pt>
                <c:pt idx="333">
                  <c:v>-29.773932819373233</c:v>
                </c:pt>
                <c:pt idx="334">
                  <c:v>-31.116838843211987</c:v>
                </c:pt>
                <c:pt idx="335">
                  <c:v>-32.453511306996319</c:v>
                </c:pt>
                <c:pt idx="336">
                  <c:v>-33.783619811941222</c:v>
                </c:pt>
                <c:pt idx="337">
                  <c:v>-35.106861074445234</c:v>
                </c:pt>
                <c:pt idx="338">
                  <c:v>-36.422959386242937</c:v>
                </c:pt>
                <c:pt idx="339">
                  <c:v>-37.731666987819501</c:v>
                </c:pt>
                <c:pt idx="340">
                  <c:v>-39.03276435903414</c:v>
                </c:pt>
                <c:pt idx="341">
                  <c:v>-40.326060431511706</c:v>
                </c:pt>
                <c:pt idx="342">
                  <c:v>-41.611392727872847</c:v>
                </c:pt>
                <c:pt idx="343">
                  <c:v>-42.888627433367319</c:v>
                </c:pt>
                <c:pt idx="344">
                  <c:v>-44.157659405836448</c:v>
                </c:pt>
                <c:pt idx="345">
                  <c:v>-45.418412130284644</c:v>
                </c:pt>
                <c:pt idx="346">
                  <c:v>-46.670837624582859</c:v>
                </c:pt>
                <c:pt idx="347">
                  <c:v>-47.914916303030914</c:v>
                </c:pt>
                <c:pt idx="348">
                  <c:v>-49.150656804646275</c:v>
                </c:pt>
                <c:pt idx="349">
                  <c:v>-50.378095793125894</c:v>
                </c:pt>
                <c:pt idx="350">
                  <c:v>-51.597297735452855</c:v>
                </c:pt>
                <c:pt idx="351">
                  <c:v>-52.808354666123222</c:v>
                </c:pt>
                <c:pt idx="352">
                  <c:v>-54.01138594389159</c:v>
                </c:pt>
                <c:pt idx="353">
                  <c:v>-55.206538007854668</c:v>
                </c:pt>
                <c:pt idx="354">
                  <c:v>-56.393984139572183</c:v>
                </c:pt>
                <c:pt idx="355">
                  <c:v>-57.573924237754476</c:v>
                </c:pt>
                <c:pt idx="356">
                  <c:v>-58.746584611905782</c:v>
                </c:pt>
                <c:pt idx="357">
                  <c:v>-59.912217801086285</c:v>
                </c:pt>
                <c:pt idx="358">
                  <c:v>-61.071102423775208</c:v>
                </c:pt>
                <c:pt idx="359">
                  <c:v>-62.223543064582294</c:v>
                </c:pt>
                <c:pt idx="360">
                  <c:v>-63.369870203328325</c:v>
                </c:pt>
                <c:pt idx="361">
                  <c:v>-64.510440191767245</c:v>
                </c:pt>
                <c:pt idx="362">
                  <c:v>-65.645635282969877</c:v>
                </c:pt>
                <c:pt idx="363">
                  <c:v>-66.775863718117506</c:v>
                </c:pt>
                <c:pt idx="364">
                  <c:v>-67.901559875167507</c:v>
                </c:pt>
                <c:pt idx="365">
                  <c:v>-69.023184483545606</c:v>
                </c:pt>
                <c:pt idx="366">
                  <c:v>-70.141224908684421</c:v>
                </c:pt>
                <c:pt idx="367">
                  <c:v>-71.256195509855772</c:v>
                </c:pt>
                <c:pt idx="368">
                  <c:v>-72.368638074327436</c:v>
                </c:pt>
                <c:pt idx="369">
                  <c:v>-73.479122330400003</c:v>
                </c:pt>
                <c:pt idx="370">
                  <c:v>-74.588246541324168</c:v>
                </c:pt>
                <c:pt idx="371">
                  <c:v>-75.696638181455128</c:v>
                </c:pt>
                <c:pt idx="372">
                  <c:v>-76.804954695238919</c:v>
                </c:pt>
                <c:pt idx="373">
                  <c:v>-77.913884338710389</c:v>
                </c:pt>
                <c:pt idx="374">
                  <c:v>-79.024147102106582</c:v>
                </c:pt>
                <c:pt idx="375">
                  <c:v>-80.136495710889278</c:v>
                </c:pt>
                <c:pt idx="376">
                  <c:v>-81.251716700914585</c:v>
                </c:pt>
                <c:pt idx="377">
                  <c:v>-82.37063156161237</c:v>
                </c:pt>
                <c:pt idx="378">
                  <c:v>-83.494097938790404</c:v>
                </c:pt>
                <c:pt idx="379">
                  <c:v>-84.623010885994546</c:v>
                </c:pt>
                <c:pt idx="380">
                  <c:v>-85.758304150135089</c:v>
                </c:pt>
                <c:pt idx="381">
                  <c:v>-86.900951473273338</c:v>
                </c:pt>
                <c:pt idx="382">
                  <c:v>-88.051967887922984</c:v>
                </c:pt>
                <c:pt idx="383">
                  <c:v>-89.212410977838502</c:v>
                </c:pt>
                <c:pt idx="384">
                  <c:v>-90.383382069953669</c:v>
                </c:pt>
                <c:pt idx="385">
                  <c:v>-91.566027315699372</c:v>
                </c:pt>
                <c:pt idx="386">
                  <c:v>-92.761538611291655</c:v>
                </c:pt>
                <c:pt idx="387">
                  <c:v>-93.97115429653266</c:v>
                </c:pt>
                <c:pt idx="388">
                  <c:v>-95.196159560109265</c:v>
                </c:pt>
                <c:pt idx="389">
                  <c:v>-96.437886466146594</c:v>
                </c:pt>
                <c:pt idx="390">
                  <c:v>-97.697713501774942</c:v>
                </c:pt>
                <c:pt idx="391">
                  <c:v>-98.977064528649436</c:v>
                </c:pt>
                <c:pt idx="392">
                  <c:v>-100.2774070027038</c:v>
                </c:pt>
                <c:pt idx="393">
                  <c:v>-101.60024930606103</c:v>
                </c:pt>
                <c:pt idx="394">
                  <c:v>-102.94713701320153</c:v>
                </c:pt>
                <c:pt idx="395">
                  <c:v>-104.31964789068135</c:v>
                </c:pt>
                <c:pt idx="396">
                  <c:v>-105.71938540659825</c:v>
                </c:pt>
                <c:pt idx="397">
                  <c:v>-107.14797050372617</c:v>
                </c:pt>
                <c:pt idx="398">
                  <c:v>-108.60703137024682</c:v>
                </c:pt>
                <c:pt idx="399">
                  <c:v>-110.09819092635728</c:v>
                </c:pt>
                <c:pt idx="400">
                  <c:v>-111.62305173634243</c:v>
                </c:pt>
                <c:pt idx="401">
                  <c:v>-113.1831780573397</c:v>
                </c:pt>
                <c:pt idx="402">
                  <c:v>-114.78007475205129</c:v>
                </c:pt>
                <c:pt idx="403">
                  <c:v>-116.41516282786357</c:v>
                </c:pt>
                <c:pt idx="404">
                  <c:v>-118.08975142463483</c:v>
                </c:pt>
                <c:pt idx="405">
                  <c:v>-119.8050061635156</c:v>
                </c:pt>
                <c:pt idx="406">
                  <c:v>-121.56191389520563</c:v>
                </c:pt>
                <c:pt idx="407">
                  <c:v>-123.36124405282695</c:v>
                </c:pt>
                <c:pt idx="408">
                  <c:v>-125.20350702516409</c:v>
                </c:pt>
                <c:pt idx="409">
                  <c:v>-127.08891022041844</c:v>
                </c:pt>
                <c:pt idx="410">
                  <c:v>-129.01731278446499</c:v>
                </c:pt>
                <c:pt idx="411">
                  <c:v>-130.98818026053218</c:v>
                </c:pt>
                <c:pt idx="412">
                  <c:v>-133.00054081156705</c:v>
                </c:pt>
                <c:pt idx="413">
                  <c:v>-135.05294494648777</c:v>
                </c:pt>
                <c:pt idx="414">
                  <c:v>-137.1434309632269</c:v>
                </c:pt>
                <c:pt idx="415">
                  <c:v>-139.2694985045955</c:v>
                </c:pt>
                <c:pt idx="416">
                  <c:v>-141.4280926741645</c:v>
                </c:pt>
                <c:pt idx="417">
                  <c:v>-143.61560103732603</c:v>
                </c:pt>
                <c:pt idx="418">
                  <c:v>-145.82786550549429</c:v>
                </c:pt>
                <c:pt idx="419">
                  <c:v>-148.06021055400066</c:v>
                </c:pt>
                <c:pt idx="420">
                  <c:v>-150.3074884658518</c:v>
                </c:pt>
                <c:pt idx="421">
                  <c:v>-152.56414136247713</c:v>
                </c:pt>
                <c:pt idx="422">
                  <c:v>-154.82427874688059</c:v>
                </c:pt>
                <c:pt idx="423">
                  <c:v>-157.08176823722701</c:v>
                </c:pt>
                <c:pt idx="424">
                  <c:v>-159.33033621698317</c:v>
                </c:pt>
                <c:pt idx="425">
                  <c:v>-161.56367437808728</c:v>
                </c:pt>
                <c:pt idx="426">
                  <c:v>-163.7755476752213</c:v>
                </c:pt>
                <c:pt idx="427">
                  <c:v>-165.9598990987495</c:v>
                </c:pt>
                <c:pt idx="428">
                  <c:v>-168.11094692506003</c:v>
                </c:pt>
                <c:pt idx="429">
                  <c:v>-170.22327068455309</c:v>
                </c:pt>
                <c:pt idx="430">
                  <c:v>-172.2918829284697</c:v>
                </c:pt>
                <c:pt idx="431">
                  <c:v>-174.31228487829279</c:v>
                </c:pt>
                <c:pt idx="432">
                  <c:v>-176.28050509646559</c:v>
                </c:pt>
                <c:pt idx="433">
                  <c:v>-178.19312132174454</c:v>
                </c:pt>
                <c:pt idx="434">
                  <c:v>179.95273351777482</c:v>
                </c:pt>
                <c:pt idx="435">
                  <c:v>178.15937942241197</c:v>
                </c:pt>
                <c:pt idx="436">
                  <c:v>176.42860941731297</c:v>
                </c:pt>
                <c:pt idx="437">
                  <c:v>174.76171923164904</c:v>
                </c:pt>
                <c:pt idx="438">
                  <c:v>173.15954411518155</c:v>
                </c:pt>
                <c:pt idx="439">
                  <c:v>171.62250045495034</c:v>
                </c:pt>
                <c:pt idx="440">
                  <c:v>170.15063007788473</c:v>
                </c:pt>
                <c:pt idx="441">
                  <c:v>168.74364542031731</c:v>
                </c:pt>
                <c:pt idx="442">
                  <c:v>167.40097407467337</c:v>
                </c:pt>
                <c:pt idx="443">
                  <c:v>166.12180155614843</c:v>
                </c:pt>
                <c:pt idx="444">
                  <c:v>164.90511144548441</c:v>
                </c:pt>
                <c:pt idx="445">
                  <c:v>163.74972234327061</c:v>
                </c:pt>
                <c:pt idx="446">
                  <c:v>162.65432130875899</c:v>
                </c:pt>
                <c:pt idx="447">
                  <c:v>161.61749364946095</c:v>
                </c:pt>
                <c:pt idx="448">
                  <c:v>160.6377490782356</c:v>
                </c:pt>
                <c:pt idx="449">
                  <c:v>159.71354436598344</c:v>
                </c:pt>
                <c:pt idx="450">
                  <c:v>158.84330269573618</c:v>
                </c:pt>
                <c:pt idx="451">
                  <c:v>158.02542997351995</c:v>
                </c:pt>
                <c:pt idx="452">
                  <c:v>157.25832837858746</c:v>
                </c:pt>
                <c:pt idx="453">
                  <c:v>156.54040744559211</c:v>
                </c:pt>
                <c:pt idx="454">
                  <c:v>155.87009296854345</c:v>
                </c:pt>
                <c:pt idx="455">
                  <c:v>155.24583400475237</c:v>
                </c:pt>
                <c:pt idx="456">
                  <c:v>154.66610823945203</c:v>
                </c:pt>
                <c:pt idx="457">
                  <c:v>154.12942595080395</c:v>
                </c:pt>
                <c:pt idx="458">
                  <c:v>153.63433279235321</c:v>
                </c:pt>
                <c:pt idx="459">
                  <c:v>153.17941158700268</c:v>
                </c:pt>
                <c:pt idx="460">
                  <c:v>152.76328330415481</c:v>
                </c:pt>
                <c:pt idx="461">
                  <c:v>152.38460737044068</c:v>
                </c:pt>
                <c:pt idx="462">
                  <c:v>152.04208144477488</c:v>
                </c:pt>
                <c:pt idx="463">
                  <c:v>151.73444077054259</c:v>
                </c:pt>
                <c:pt idx="464">
                  <c:v>151.46045720159645</c:v>
                </c:pt>
                <c:pt idx="465">
                  <c:v>151.21893798440743</c:v>
                </c:pt>
                <c:pt idx="466">
                  <c:v>151.00872436606591</c:v>
                </c:pt>
                <c:pt idx="467">
                  <c:v>150.82869008676028</c:v>
                </c:pt>
                <c:pt idx="468">
                  <c:v>150.67773980574313</c:v>
                </c:pt>
                <c:pt idx="469">
                  <c:v>150.55480750143488</c:v>
                </c:pt>
                <c:pt idx="470">
                  <c:v>150.45885487913858</c:v>
                </c:pt>
                <c:pt idx="471">
                  <c:v>150.38886981362464</c:v>
                </c:pt>
                <c:pt idx="472">
                  <c:v>150.34386484852979</c:v>
                </c:pt>
                <c:pt idx="473">
                  <c:v>150.32287576993511</c:v>
                </c:pt>
                <c:pt idx="474">
                  <c:v>150.32496026757042</c:v>
                </c:pt>
                <c:pt idx="475">
                  <c:v>150.34919669370214</c:v>
                </c:pt>
                <c:pt idx="476">
                  <c:v>150.39468292688525</c:v>
                </c:pt>
                <c:pt idx="477">
                  <c:v>150.46053534523242</c:v>
                </c:pt>
                <c:pt idx="478">
                  <c:v>150.54588791171781</c:v>
                </c:pt>
                <c:pt idx="479">
                  <c:v>150.64989137215917</c:v>
                </c:pt>
                <c:pt idx="480">
                  <c:v>150.77171256491519</c:v>
                </c:pt>
                <c:pt idx="481">
                  <c:v>150.91053383993855</c:v>
                </c:pt>
                <c:pt idx="482">
                  <c:v>151.06555258362789</c:v>
                </c:pt>
                <c:pt idx="483">
                  <c:v>151.23598084489316</c:v>
                </c:pt>
                <c:pt idx="484">
                  <c:v>151.42104505696139</c:v>
                </c:pt>
                <c:pt idx="485">
                  <c:v>151.61998584872154</c:v>
                </c:pt>
                <c:pt idx="486">
                  <c:v>151.83205793879108</c:v>
                </c:pt>
                <c:pt idx="487">
                  <c:v>152.05653010499603</c:v>
                </c:pt>
                <c:pt idx="488">
                  <c:v>152.29268522158173</c:v>
                </c:pt>
                <c:pt idx="489">
                  <c:v>152.5398203562049</c:v>
                </c:pt>
                <c:pt idx="490">
                  <c:v>152.79724691858775</c:v>
                </c:pt>
                <c:pt idx="491">
                  <c:v>153.06429085265248</c:v>
                </c:pt>
                <c:pt idx="492">
                  <c:v>153.34029286397717</c:v>
                </c:pt>
                <c:pt idx="493">
                  <c:v>153.62460867453868</c:v>
                </c:pt>
                <c:pt idx="494">
                  <c:v>153.91660929689263</c:v>
                </c:pt>
                <c:pt idx="495">
                  <c:v>154.2156813202327</c:v>
                </c:pt>
                <c:pt idx="496">
                  <c:v>154.52122720110626</c:v>
                </c:pt>
                <c:pt idx="497">
                  <c:v>154.83266555197577</c:v>
                </c:pt>
                <c:pt idx="498">
                  <c:v>155.14943142128266</c:v>
                </c:pt>
                <c:pt idx="499">
                  <c:v>155.47097655917887</c:v>
                </c:pt>
                <c:pt idx="500">
                  <c:v>155.79676966363741</c:v>
                </c:pt>
                <c:pt idx="501">
                  <c:v>156.12629660223593</c:v>
                </c:pt>
                <c:pt idx="502">
                  <c:v>156.45906060550016</c:v>
                </c:pt>
                <c:pt idx="503">
                  <c:v>156.79458242830424</c:v>
                </c:pt>
                <c:pt idx="504">
                  <c:v>157.13240047643149</c:v>
                </c:pt>
                <c:pt idx="505">
                  <c:v>157.47207089601176</c:v>
                </c:pt>
                <c:pt idx="506">
                  <c:v>157.81316762412391</c:v>
                </c:pt>
                <c:pt idx="507">
                  <c:v>158.15528239944169</c:v>
                </c:pt>
                <c:pt idx="508">
                  <c:v>158.49802473232788</c:v>
                </c:pt>
                <c:pt idx="509">
                  <c:v>158.84102183429164</c:v>
                </c:pt>
                <c:pt idx="510">
                  <c:v>159.18391850720354</c:v>
                </c:pt>
                <c:pt idx="511">
                  <c:v>159.52637699308468</c:v>
                </c:pt>
                <c:pt idx="512">
                  <c:v>159.86807678567905</c:v>
                </c:pt>
                <c:pt idx="513">
                  <c:v>160.20871440535575</c:v>
                </c:pt>
                <c:pt idx="514">
                  <c:v>160.54800313918881</c:v>
                </c:pt>
                <c:pt idx="515">
                  <c:v>160.88567274830757</c:v>
                </c:pt>
                <c:pt idx="516">
                  <c:v>161.22146914481968</c:v>
                </c:pt>
                <c:pt idx="517">
                  <c:v>161.55515404076226</c:v>
                </c:pt>
                <c:pt idx="518">
                  <c:v>161.88650457166716</c:v>
                </c:pt>
                <c:pt idx="519">
                  <c:v>162.21531289738942</c:v>
                </c:pt>
                <c:pt idx="520">
                  <c:v>162.54138578290298</c:v>
                </c:pt>
                <c:pt idx="521">
                  <c:v>162.86454416176804</c:v>
                </c:pt>
                <c:pt idx="522">
                  <c:v>163.1846226849552</c:v>
                </c:pt>
                <c:pt idx="523">
                  <c:v>163.50146925765881</c:v>
                </c:pt>
                <c:pt idx="524">
                  <c:v>163.81494456665894</c:v>
                </c:pt>
                <c:pt idx="525">
                  <c:v>164.1249216007015</c:v>
                </c:pt>
                <c:pt idx="526">
                  <c:v>164.43128516624202</c:v>
                </c:pt>
                <c:pt idx="527">
                  <c:v>164.73393140079415</c:v>
                </c:pt>
                <c:pt idx="528">
                  <c:v>165.03276728596421</c:v>
                </c:pt>
                <c:pt idx="529">
                  <c:v>165.32771016212939</c:v>
                </c:pt>
                <c:pt idx="530">
                  <c:v>165.61868724655471</c:v>
                </c:pt>
                <c:pt idx="531">
                  <c:v>165.90563515659701</c:v>
                </c:pt>
                <c:pt idx="532">
                  <c:v>166.18849943949093</c:v>
                </c:pt>
                <c:pt idx="533">
                  <c:v>166.46723411005871</c:v>
                </c:pt>
                <c:pt idx="534">
                  <c:v>166.74180119753342</c:v>
                </c:pt>
                <c:pt idx="535">
                  <c:v>167.01217030254588</c:v>
                </c:pt>
                <c:pt idx="536">
                  <c:v>167.27831816517761</c:v>
                </c:pt>
                <c:pt idx="537">
                  <c:v>167.54022824485412</c:v>
                </c:pt>
                <c:pt idx="538">
                  <c:v>167.79789031272011</c:v>
                </c:pt>
                <c:pt idx="539">
                  <c:v>168.05130005702225</c:v>
                </c:pt>
                <c:pt idx="540">
                  <c:v>168.30045870190733</c:v>
                </c:pt>
                <c:pt idx="541">
                  <c:v>168.54537263994837</c:v>
                </c:pt>
              </c:numCache>
            </c:numRef>
          </c:yVal>
          <c:smooth val="1"/>
          <c:extLst>
            <c:ext xmlns:c16="http://schemas.microsoft.com/office/drawing/2014/chart" uri="{C3380CC4-5D6E-409C-BE32-E72D297353CC}">
              <c16:uniqueId val="{0000000B-D02D-472B-94D9-C55747D26791}"/>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Eff_vs_IOUT!$AT$7:$AT$157</c:f>
              <c:numCache>
                <c:formatCode>General</c:formatCode>
                <c:ptCount val="151"/>
                <c:pt idx="0">
                  <c:v>0</c:v>
                </c:pt>
                <c:pt idx="1">
                  <c:v>89.495978531737194</c:v>
                </c:pt>
                <c:pt idx="2">
                  <c:v>92.607287857653162</c:v>
                </c:pt>
                <c:pt idx="3">
                  <c:v>93.686337840994568</c:v>
                </c:pt>
                <c:pt idx="4">
                  <c:v>94.231243242246009</c:v>
                </c:pt>
                <c:pt idx="5">
                  <c:v>94.558385310393874</c:v>
                </c:pt>
                <c:pt idx="6">
                  <c:v>94.775610672141084</c:v>
                </c:pt>
                <c:pt idx="7">
                  <c:v>94.929709639918315</c:v>
                </c:pt>
                <c:pt idx="8">
                  <c:v>95.044254342056192</c:v>
                </c:pt>
                <c:pt idx="9">
                  <c:v>95.132404405589739</c:v>
                </c:pt>
                <c:pt idx="10">
                  <c:v>95.202080914709725</c:v>
                </c:pt>
                <c:pt idx="11">
                  <c:v>95.258334959527048</c:v>
                </c:pt>
                <c:pt idx="12">
                  <c:v>95.30453811536519</c:v>
                </c:pt>
                <c:pt idx="13">
                  <c:v>95.343026006409275</c:v>
                </c:pt>
                <c:pt idx="14">
                  <c:v>95.375467172841581</c:v>
                </c:pt>
                <c:pt idx="15">
                  <c:v>95.403084910841571</c:v>
                </c:pt>
                <c:pt idx="16">
                  <c:v>95.426796174658264</c:v>
                </c:pt>
                <c:pt idx="17">
                  <c:v>95.447301580114839</c:v>
                </c:pt>
                <c:pt idx="18">
                  <c:v>95.42768921910195</c:v>
                </c:pt>
                <c:pt idx="19">
                  <c:v>95.44090708118415</c:v>
                </c:pt>
                <c:pt idx="20">
                  <c:v>95.451909210088132</c:v>
                </c:pt>
                <c:pt idx="21">
                  <c:v>95.461011180496897</c:v>
                </c:pt>
                <c:pt idx="22">
                  <c:v>95.468471397646013</c:v>
                </c:pt>
                <c:pt idx="23">
                  <c:v>95.474503482392862</c:v>
                </c:pt>
                <c:pt idx="24">
                  <c:v>95.479285570303531</c:v>
                </c:pt>
                <c:pt idx="25">
                  <c:v>95.482967386076567</c:v>
                </c:pt>
                <c:pt idx="26">
                  <c:v>95.485675690414539</c:v>
                </c:pt>
                <c:pt idx="27">
                  <c:v>95.48751852005482</c:v>
                </c:pt>
                <c:pt idx="28">
                  <c:v>95.488588521810669</c:v>
                </c:pt>
                <c:pt idx="29">
                  <c:v>95.488965598707793</c:v>
                </c:pt>
                <c:pt idx="30">
                  <c:v>95.488719028301134</c:v>
                </c:pt>
                <c:pt idx="31">
                  <c:v>95.487909172049896</c:v>
                </c:pt>
                <c:pt idx="32">
                  <c:v>95.486588864983958</c:v>
                </c:pt>
                <c:pt idx="33">
                  <c:v>95.48480455331449</c:v>
                </c:pt>
                <c:pt idx="34">
                  <c:v>95.482597231761204</c:v>
                </c:pt>
                <c:pt idx="35">
                  <c:v>95.480003220560903</c:v>
                </c:pt>
                <c:pt idx="36">
                  <c:v>95.477054813262143</c:v>
                </c:pt>
                <c:pt idx="37">
                  <c:v>95.473780819698405</c:v>
                </c:pt>
                <c:pt idx="38">
                  <c:v>95.470207023408832</c:v>
                </c:pt>
                <c:pt idx="39">
                  <c:v>95.466356568830662</c:v>
                </c:pt>
                <c:pt idx="40">
                  <c:v>95.462250290528601</c:v>
                </c:pt>
                <c:pt idx="41">
                  <c:v>95.457906994338103</c:v>
                </c:pt>
                <c:pt idx="42">
                  <c:v>95.453343698421762</c:v>
                </c:pt>
                <c:pt idx="43">
                  <c:v>95.448575840752298</c:v>
                </c:pt>
                <c:pt idx="44">
                  <c:v>95.443617458353714</c:v>
                </c:pt>
                <c:pt idx="45">
                  <c:v>95.438481342686117</c:v>
                </c:pt>
                <c:pt idx="46">
                  <c:v>95.43317917479817</c:v>
                </c:pt>
                <c:pt idx="47">
                  <c:v>95.427721643255211</c:v>
                </c:pt>
                <c:pt idx="48">
                  <c:v>95.422118547351019</c:v>
                </c:pt>
                <c:pt idx="49">
                  <c:v>95.416378887701882</c:v>
                </c:pt>
                <c:pt idx="50">
                  <c:v>95.410510945986843</c:v>
                </c:pt>
                <c:pt idx="51">
                  <c:v>95.404522355321376</c:v>
                </c:pt>
                <c:pt idx="52">
                  <c:v>95.39842016252355</c:v>
                </c:pt>
                <c:pt idx="53">
                  <c:v>95.392210883341662</c:v>
                </c:pt>
                <c:pt idx="54">
                  <c:v>95.385900551554755</c:v>
                </c:pt>
                <c:pt idx="55">
                  <c:v>95.379494762724406</c:v>
                </c:pt>
                <c:pt idx="56">
                  <c:v>95.37299871326536</c:v>
                </c:pt>
                <c:pt idx="57">
                  <c:v>95.366417235409514</c:v>
                </c:pt>
                <c:pt idx="58">
                  <c:v>95.359754828557669</c:v>
                </c:pt>
                <c:pt idx="59">
                  <c:v>95.353015687447439</c:v>
                </c:pt>
                <c:pt idx="60">
                  <c:v>95.346203727508026</c:v>
                </c:pt>
                <c:pt idx="61">
                  <c:v>95.339322607724412</c:v>
                </c:pt>
                <c:pt idx="62">
                  <c:v>95.332375751291693</c:v>
                </c:pt>
                <c:pt idx="63">
                  <c:v>95.32536636430487</c:v>
                </c:pt>
                <c:pt idx="64">
                  <c:v>95.318297452698602</c:v>
                </c:pt>
                <c:pt idx="65">
                  <c:v>95.311171837625295</c:v>
                </c:pt>
                <c:pt idx="66">
                  <c:v>95.303992169436768</c:v>
                </c:pt>
                <c:pt idx="67">
                  <c:v>95.296760940415425</c:v>
                </c:pt>
                <c:pt idx="68">
                  <c:v>95.289480496383334</c:v>
                </c:pt>
                <c:pt idx="69">
                  <c:v>95.282153047303055</c:v>
                </c:pt>
                <c:pt idx="70">
                  <c:v>95.274780676970778</c:v>
                </c:pt>
                <c:pt idx="71">
                  <c:v>95.267365351891357</c:v>
                </c:pt>
                <c:pt idx="72">
                  <c:v>95.259908929414422</c:v>
                </c:pt>
                <c:pt idx="73">
                  <c:v>95.252413165202682</c:v>
                </c:pt>
                <c:pt idx="74">
                  <c:v>95.244879720095255</c:v>
                </c:pt>
                <c:pt idx="75">
                  <c:v>95.237310166422418</c:v>
                </c:pt>
                <c:pt idx="76">
                  <c:v>95.229705993822549</c:v>
                </c:pt>
                <c:pt idx="77">
                  <c:v>95.222068614606115</c:v>
                </c:pt>
                <c:pt idx="78">
                  <c:v>95.214399368707603</c:v>
                </c:pt>
                <c:pt idx="79">
                  <c:v>95.206699528261552</c:v>
                </c:pt>
                <c:pt idx="80">
                  <c:v>95.198970301835843</c:v>
                </c:pt>
                <c:pt idx="81">
                  <c:v>95.191212838351774</c:v>
                </c:pt>
                <c:pt idx="82">
                  <c:v>95.183428230717496</c:v>
                </c:pt>
                <c:pt idx="83">
                  <c:v>95.17561751919898</c:v>
                </c:pt>
                <c:pt idx="84">
                  <c:v>95.167781694550641</c:v>
                </c:pt>
                <c:pt idx="85">
                  <c:v>95.159921700924926</c:v>
                </c:pt>
                <c:pt idx="86">
                  <c:v>95.152038438579297</c:v>
                </c:pt>
                <c:pt idx="87">
                  <c:v>95.144132766396595</c:v>
                </c:pt>
                <c:pt idx="88">
                  <c:v>95.1362055042338</c:v>
                </c:pt>
                <c:pt idx="89">
                  <c:v>95.128257435112459</c:v>
                </c:pt>
                <c:pt idx="90">
                  <c:v>95.120289307263334</c:v>
                </c:pt>
                <c:pt idx="91">
                  <c:v>95.112301836036352</c:v>
                </c:pt>
                <c:pt idx="92">
                  <c:v>95.104295705685928</c:v>
                </c:pt>
                <c:pt idx="93">
                  <c:v>95.096271571041513</c:v>
                </c:pt>
                <c:pt idx="94">
                  <c:v>95.088230059071307</c:v>
                </c:pt>
                <c:pt idx="95">
                  <c:v>95.080171770347462</c:v>
                </c:pt>
                <c:pt idx="96">
                  <c:v>95.072097280419783</c:v>
                </c:pt>
                <c:pt idx="97">
                  <c:v>95.064007141104383</c:v>
                </c:pt>
                <c:pt idx="98">
                  <c:v>95.055901881693671</c:v>
                </c:pt>
                <c:pt idx="99">
                  <c:v>95.04778201009303</c:v>
                </c:pt>
                <c:pt idx="100">
                  <c:v>95.039648013889234</c:v>
                </c:pt>
                <c:pt idx="101">
                  <c:v>95.031500361355654</c:v>
                </c:pt>
                <c:pt idx="102">
                  <c:v>95.023339502398159</c:v>
                </c:pt>
                <c:pt idx="103">
                  <c:v>95.015165869446051</c:v>
                </c:pt>
                <c:pt idx="104">
                  <c:v>95.006979878291759</c:v>
                </c:pt>
                <c:pt idx="105">
                  <c:v>94.99878192888238</c:v>
                </c:pt>
                <c:pt idx="106">
                  <c:v>94.990572406066562</c:v>
                </c:pt>
                <c:pt idx="107">
                  <c:v>94.98235168029953</c:v>
                </c:pt>
                <c:pt idx="108">
                  <c:v>94.974120108308995</c:v>
                </c:pt>
                <c:pt idx="109">
                  <c:v>94.965878033724309</c:v>
                </c:pt>
                <c:pt idx="110">
                  <c:v>94.957625787671518</c:v>
                </c:pt>
                <c:pt idx="111">
                  <c:v>94.949363689336138</c:v>
                </c:pt>
                <c:pt idx="112">
                  <c:v>94.941092046495868</c:v>
                </c:pt>
                <c:pt idx="113">
                  <c:v>94.932811156024925</c:v>
                </c:pt>
                <c:pt idx="114">
                  <c:v>94.92452130437205</c:v>
                </c:pt>
                <c:pt idx="115">
                  <c:v>94.916222768013427</c:v>
                </c:pt>
                <c:pt idx="116">
                  <c:v>94.907915813882198</c:v>
                </c:pt>
                <c:pt idx="117">
                  <c:v>94.899600699776158</c:v>
                </c:pt>
                <c:pt idx="118">
                  <c:v>94.89127767474443</c:v>
                </c:pt>
                <c:pt idx="119">
                  <c:v>94.882946979454928</c:v>
                </c:pt>
                <c:pt idx="120">
                  <c:v>94.874608846543268</c:v>
                </c:pt>
                <c:pt idx="121">
                  <c:v>94.866263500944541</c:v>
                </c:pt>
                <c:pt idx="122">
                  <c:v>94.857911160208644</c:v>
                </c:pt>
                <c:pt idx="123">
                  <c:v>94.849552034800382</c:v>
                </c:pt>
                <c:pt idx="124">
                  <c:v>94.841186328384907</c:v>
                </c:pt>
                <c:pt idx="125">
                  <c:v>94.832814238099559</c:v>
                </c:pt>
                <c:pt idx="126">
                  <c:v>94.824435954812742</c:v>
                </c:pt>
                <c:pt idx="127">
                  <c:v>94.816051663370615</c:v>
                </c:pt>
                <c:pt idx="128">
                  <c:v>94.807661542832193</c:v>
                </c:pt>
                <c:pt idx="129">
                  <c:v>94.799265766693438</c:v>
                </c:pt>
                <c:pt idx="130">
                  <c:v>94.790864503101261</c:v>
                </c:pt>
                <c:pt idx="131">
                  <c:v>94.782457915057378</c:v>
                </c:pt>
                <c:pt idx="132">
                  <c:v>94.774046160613238</c:v>
                </c:pt>
                <c:pt idx="133">
                  <c:v>94.765629393055946</c:v>
                </c:pt>
                <c:pt idx="134">
                  <c:v>94.757207761085937</c:v>
                </c:pt>
                <c:pt idx="135">
                  <c:v>94.748781408986844</c:v>
                </c:pt>
                <c:pt idx="136">
                  <c:v>94.740350476787654</c:v>
                </c:pt>
                <c:pt idx="137">
                  <c:v>94.731915100417979</c:v>
                </c:pt>
                <c:pt idx="138">
                  <c:v>94.723475411856512</c:v>
                </c:pt>
                <c:pt idx="139">
                  <c:v>94.715031539273099</c:v>
                </c:pt>
                <c:pt idx="140">
                  <c:v>94.706583607164589</c:v>
                </c:pt>
                <c:pt idx="141">
                  <c:v>94.698131736485081</c:v>
                </c:pt>
                <c:pt idx="142">
                  <c:v>94.689676044770678</c:v>
                </c:pt>
                <c:pt idx="143">
                  <c:v>94.681216646258775</c:v>
                </c:pt>
                <c:pt idx="144">
                  <c:v>94.672753652002683</c:v>
                </c:pt>
                <c:pt idx="145">
                  <c:v>94.664287169981293</c:v>
                </c:pt>
                <c:pt idx="146">
                  <c:v>94.655817305204351</c:v>
                </c:pt>
                <c:pt idx="147">
                  <c:v>94.647344159813329</c:v>
                </c:pt>
                <c:pt idx="148">
                  <c:v>94.638867833178423</c:v>
                </c:pt>
                <c:pt idx="149">
                  <c:v>94.630388421991327</c:v>
                </c:pt>
                <c:pt idx="150">
                  <c:v>94.621906020354629</c:v>
                </c:pt>
              </c:numCache>
            </c:numRef>
          </c:yVal>
          <c:smooth val="0"/>
          <c:extLst>
            <c:ext xmlns:c16="http://schemas.microsoft.com/office/drawing/2014/chart" uri="{C3380CC4-5D6E-409C-BE32-E72D297353CC}">
              <c16:uniqueId val="{00000000-EC1A-492D-A4E9-DA20EFA071ED}"/>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Eff_vs_IOUT!$AI$7:$AI$157</c:f>
              <c:numCache>
                <c:formatCode>General</c:formatCode>
                <c:ptCount val="151"/>
                <c:pt idx="0">
                  <c:v>0</c:v>
                </c:pt>
                <c:pt idx="1">
                  <c:v>0.16528514416825191</c:v>
                </c:pt>
                <c:pt idx="2">
                  <c:v>0.33211296635211568</c:v>
                </c:pt>
                <c:pt idx="3">
                  <c:v>0.49994505724088467</c:v>
                </c:pt>
                <c:pt idx="4">
                  <c:v>0.66858928504833759</c:v>
                </c:pt>
                <c:pt idx="5">
                  <c:v>0.83793460821185906</c:v>
                </c:pt>
                <c:pt idx="6">
                  <c:v>1.0079061045900473</c:v>
                </c:pt>
                <c:pt idx="7">
                  <c:v>1.1784487719330279</c:v>
                </c:pt>
                <c:pt idx="8">
                  <c:v>1.3495199942215703</c:v>
                </c:pt>
                <c:pt idx="9">
                  <c:v>1.5210854852032516</c:v>
                </c:pt>
                <c:pt idx="10">
                  <c:v>1.6931168809752313</c:v>
                </c:pt>
                <c:pt idx="11">
                  <c:v>1.8655902076664181</c:v>
                </c:pt>
                <c:pt idx="12">
                  <c:v>2.0384848530340447</c:v>
                </c:pt>
                <c:pt idx="13">
                  <c:v>2.2117828469129508</c:v>
                </c:pt>
                <c:pt idx="14">
                  <c:v>2.3854683405425452</c:v>
                </c:pt>
                <c:pt idx="15">
                  <c:v>2.5595272191978236</c:v>
                </c:pt>
                <c:pt idx="16">
                  <c:v>2.7339468071959905</c:v>
                </c:pt>
                <c:pt idx="17">
                  <c:v>2.9087156387402402</c:v>
                </c:pt>
                <c:pt idx="18">
                  <c:v>3.1095131085652823</c:v>
                </c:pt>
                <c:pt idx="19">
                  <c:v>3.2883134180877511</c:v>
                </c:pt>
                <c:pt idx="20">
                  <c:v>3.4679449353101144</c:v>
                </c:pt>
                <c:pt idx="21">
                  <c:v>3.6484076602323734</c:v>
                </c:pt>
                <c:pt idx="22">
                  <c:v>3.8297015928545255</c:v>
                </c:pt>
                <c:pt idx="23">
                  <c:v>4.011826733176572</c:v>
                </c:pt>
                <c:pt idx="24">
                  <c:v>4.1947830811985147</c:v>
                </c:pt>
                <c:pt idx="25">
                  <c:v>4.3785706369203519</c:v>
                </c:pt>
                <c:pt idx="26">
                  <c:v>4.5631894003420816</c:v>
                </c:pt>
                <c:pt idx="27">
                  <c:v>4.7486393714637067</c:v>
                </c:pt>
                <c:pt idx="28">
                  <c:v>4.9349205502852262</c:v>
                </c:pt>
                <c:pt idx="29">
                  <c:v>5.122032936806642</c:v>
                </c:pt>
                <c:pt idx="30">
                  <c:v>5.3099765310279512</c:v>
                </c:pt>
                <c:pt idx="31">
                  <c:v>5.498751332949154</c:v>
                </c:pt>
                <c:pt idx="32">
                  <c:v>5.6883573425702547</c:v>
                </c:pt>
                <c:pt idx="33">
                  <c:v>5.8787945598912472</c:v>
                </c:pt>
                <c:pt idx="34">
                  <c:v>6.0700629849121324</c:v>
                </c:pt>
                <c:pt idx="35">
                  <c:v>6.2621626176329146</c:v>
                </c:pt>
                <c:pt idx="36">
                  <c:v>6.4550934580535912</c:v>
                </c:pt>
                <c:pt idx="37">
                  <c:v>6.6488555061741641</c:v>
                </c:pt>
                <c:pt idx="38">
                  <c:v>6.8434487619946278</c:v>
                </c:pt>
                <c:pt idx="39">
                  <c:v>7.0388732255149895</c:v>
                </c:pt>
                <c:pt idx="40">
                  <c:v>7.2351288967352421</c:v>
                </c:pt>
                <c:pt idx="41">
                  <c:v>7.4322157756553935</c:v>
                </c:pt>
                <c:pt idx="42">
                  <c:v>7.6301338622754376</c:v>
                </c:pt>
                <c:pt idx="43">
                  <c:v>7.8288831565953769</c:v>
                </c:pt>
                <c:pt idx="44">
                  <c:v>8.0284636586152089</c:v>
                </c:pt>
                <c:pt idx="45">
                  <c:v>8.2288753683349363</c:v>
                </c:pt>
                <c:pt idx="46">
                  <c:v>8.4301182857545562</c:v>
                </c:pt>
                <c:pt idx="47">
                  <c:v>8.632192410874076</c:v>
                </c:pt>
                <c:pt idx="48">
                  <c:v>8.8350977436934883</c:v>
                </c:pt>
                <c:pt idx="49">
                  <c:v>9.0388342842127933</c:v>
                </c:pt>
                <c:pt idx="50">
                  <c:v>9.2434020324319963</c:v>
                </c:pt>
                <c:pt idx="51">
                  <c:v>9.4488009883510884</c:v>
                </c:pt>
                <c:pt idx="52">
                  <c:v>9.6550311519700784</c:v>
                </c:pt>
                <c:pt idx="53">
                  <c:v>9.8620925232889629</c:v>
                </c:pt>
                <c:pt idx="54">
                  <c:v>10.06998510230774</c:v>
                </c:pt>
                <c:pt idx="55">
                  <c:v>10.278708889026413</c:v>
                </c:pt>
                <c:pt idx="56">
                  <c:v>10.488263883444981</c:v>
                </c:pt>
                <c:pt idx="57">
                  <c:v>10.698650085563445</c:v>
                </c:pt>
                <c:pt idx="58">
                  <c:v>10.909867495381803</c:v>
                </c:pt>
                <c:pt idx="59">
                  <c:v>11.121916112900056</c:v>
                </c:pt>
                <c:pt idx="60">
                  <c:v>11.3347959381182</c:v>
                </c:pt>
                <c:pt idx="61">
                  <c:v>11.54850697103624</c:v>
                </c:pt>
                <c:pt idx="62">
                  <c:v>11.763049211654174</c:v>
                </c:pt>
                <c:pt idx="63">
                  <c:v>11.978422659972006</c:v>
                </c:pt>
                <c:pt idx="64">
                  <c:v>12.194627315989733</c:v>
                </c:pt>
                <c:pt idx="65">
                  <c:v>12.41166317970735</c:v>
                </c:pt>
                <c:pt idx="66">
                  <c:v>12.629530251124866</c:v>
                </c:pt>
                <c:pt idx="67">
                  <c:v>12.848228530242272</c:v>
                </c:pt>
                <c:pt idx="68">
                  <c:v>13.067758017059573</c:v>
                </c:pt>
                <c:pt idx="69">
                  <c:v>13.28811871157677</c:v>
                </c:pt>
                <c:pt idx="70">
                  <c:v>13.509310613793863</c:v>
                </c:pt>
                <c:pt idx="71">
                  <c:v>13.731333723710849</c:v>
                </c:pt>
                <c:pt idx="72">
                  <c:v>13.954188041327729</c:v>
                </c:pt>
                <c:pt idx="73">
                  <c:v>14.177873566644505</c:v>
                </c:pt>
                <c:pt idx="74">
                  <c:v>14.40239029966118</c:v>
                </c:pt>
                <c:pt idx="75">
                  <c:v>14.627738240377742</c:v>
                </c:pt>
                <c:pt idx="76">
                  <c:v>14.8539173887942</c:v>
                </c:pt>
                <c:pt idx="77">
                  <c:v>15.080927744910554</c:v>
                </c:pt>
                <c:pt idx="78">
                  <c:v>15.308769308726804</c:v>
                </c:pt>
                <c:pt idx="79">
                  <c:v>15.537442080242943</c:v>
                </c:pt>
                <c:pt idx="80">
                  <c:v>15.766946059458981</c:v>
                </c:pt>
                <c:pt idx="81">
                  <c:v>15.997281246374918</c:v>
                </c:pt>
                <c:pt idx="82">
                  <c:v>16.228447640990744</c:v>
                </c:pt>
                <c:pt idx="83">
                  <c:v>16.460445243306467</c:v>
                </c:pt>
                <c:pt idx="84">
                  <c:v>16.693274053322082</c:v>
                </c:pt>
                <c:pt idx="85">
                  <c:v>16.926934071037593</c:v>
                </c:pt>
                <c:pt idx="86">
                  <c:v>17.161425296452997</c:v>
                </c:pt>
                <c:pt idx="87">
                  <c:v>17.396747729568293</c:v>
                </c:pt>
                <c:pt idx="88">
                  <c:v>17.632901370383486</c:v>
                </c:pt>
                <c:pt idx="89">
                  <c:v>17.869886218898579</c:v>
                </c:pt>
                <c:pt idx="90">
                  <c:v>18.10770227511356</c:v>
                </c:pt>
                <c:pt idx="91">
                  <c:v>18.346349539028434</c:v>
                </c:pt>
                <c:pt idx="92">
                  <c:v>18.585828010643208</c:v>
                </c:pt>
                <c:pt idx="93">
                  <c:v>18.826137689957879</c:v>
                </c:pt>
                <c:pt idx="94">
                  <c:v>19.067278576972438</c:v>
                </c:pt>
                <c:pt idx="95">
                  <c:v>19.309250671686893</c:v>
                </c:pt>
                <c:pt idx="96">
                  <c:v>19.552053974101248</c:v>
                </c:pt>
                <c:pt idx="97">
                  <c:v>19.795688484215486</c:v>
                </c:pt>
                <c:pt idx="98">
                  <c:v>20.040154202029633</c:v>
                </c:pt>
                <c:pt idx="99">
                  <c:v>20.285451127543663</c:v>
                </c:pt>
                <c:pt idx="100">
                  <c:v>20.531579260757599</c:v>
                </c:pt>
                <c:pt idx="101">
                  <c:v>20.778538601671418</c:v>
                </c:pt>
                <c:pt idx="102">
                  <c:v>21.026329150285136</c:v>
                </c:pt>
                <c:pt idx="103">
                  <c:v>21.274950906598747</c:v>
                </c:pt>
                <c:pt idx="104">
                  <c:v>21.524403870612257</c:v>
                </c:pt>
                <c:pt idx="105">
                  <c:v>21.774688042325653</c:v>
                </c:pt>
                <c:pt idx="106">
                  <c:v>22.025803421738956</c:v>
                </c:pt>
                <c:pt idx="107">
                  <c:v>22.277750008852141</c:v>
                </c:pt>
                <c:pt idx="108">
                  <c:v>22.53052780366523</c:v>
                </c:pt>
                <c:pt idx="109">
                  <c:v>22.784136806178211</c:v>
                </c:pt>
                <c:pt idx="110">
                  <c:v>23.038577016391081</c:v>
                </c:pt>
                <c:pt idx="111">
                  <c:v>23.293848434303854</c:v>
                </c:pt>
                <c:pt idx="112">
                  <c:v>23.549951059916516</c:v>
                </c:pt>
                <c:pt idx="113">
                  <c:v>23.806884893229082</c:v>
                </c:pt>
                <c:pt idx="114">
                  <c:v>24.06464993424153</c:v>
                </c:pt>
                <c:pt idx="115">
                  <c:v>24.323246182953877</c:v>
                </c:pt>
                <c:pt idx="116">
                  <c:v>24.582673639366121</c:v>
                </c:pt>
                <c:pt idx="117">
                  <c:v>24.842932303478253</c:v>
                </c:pt>
                <c:pt idx="118">
                  <c:v>25.104022175290286</c:v>
                </c:pt>
                <c:pt idx="119">
                  <c:v>25.365943254802215</c:v>
                </c:pt>
                <c:pt idx="120">
                  <c:v>25.628695542014032</c:v>
                </c:pt>
                <c:pt idx="121">
                  <c:v>25.89227903692575</c:v>
                </c:pt>
                <c:pt idx="122">
                  <c:v>26.156693739537353</c:v>
                </c:pt>
                <c:pt idx="123">
                  <c:v>26.421939649848856</c:v>
                </c:pt>
                <c:pt idx="124">
                  <c:v>26.688016767860255</c:v>
                </c:pt>
                <c:pt idx="125">
                  <c:v>26.954925093571557</c:v>
                </c:pt>
                <c:pt idx="126">
                  <c:v>27.222664626982745</c:v>
                </c:pt>
                <c:pt idx="127">
                  <c:v>27.491235368093818</c:v>
                </c:pt>
                <c:pt idx="128">
                  <c:v>27.760637316904806</c:v>
                </c:pt>
                <c:pt idx="129">
                  <c:v>28.030870473415668</c:v>
                </c:pt>
                <c:pt idx="130">
                  <c:v>28.301934837626437</c:v>
                </c:pt>
                <c:pt idx="131">
                  <c:v>28.573830409537099</c:v>
                </c:pt>
                <c:pt idx="132">
                  <c:v>28.84655718914766</c:v>
                </c:pt>
                <c:pt idx="133">
                  <c:v>29.120115176458107</c:v>
                </c:pt>
                <c:pt idx="134">
                  <c:v>29.39450437146845</c:v>
                </c:pt>
                <c:pt idx="135">
                  <c:v>29.669724774178686</c:v>
                </c:pt>
                <c:pt idx="136">
                  <c:v>29.945776384588818</c:v>
                </c:pt>
                <c:pt idx="137">
                  <c:v>30.222659202698846</c:v>
                </c:pt>
                <c:pt idx="138">
                  <c:v>30.500373228508767</c:v>
                </c:pt>
                <c:pt idx="139">
                  <c:v>30.778918462018581</c:v>
                </c:pt>
                <c:pt idx="140">
                  <c:v>31.058294903228298</c:v>
                </c:pt>
                <c:pt idx="141">
                  <c:v>31.338502552137903</c:v>
                </c:pt>
                <c:pt idx="142">
                  <c:v>31.619541408747402</c:v>
                </c:pt>
                <c:pt idx="143">
                  <c:v>31.901411473056804</c:v>
                </c:pt>
                <c:pt idx="144">
                  <c:v>32.184112745066088</c:v>
                </c:pt>
                <c:pt idx="145">
                  <c:v>32.467645224775275</c:v>
                </c:pt>
                <c:pt idx="146">
                  <c:v>32.752008912184351</c:v>
                </c:pt>
                <c:pt idx="147">
                  <c:v>33.037203807293338</c:v>
                </c:pt>
                <c:pt idx="148">
                  <c:v>33.323229910102206</c:v>
                </c:pt>
                <c:pt idx="149">
                  <c:v>33.61008722061095</c:v>
                </c:pt>
                <c:pt idx="150">
                  <c:v>33.897775738819618</c:v>
                </c:pt>
              </c:numCache>
            </c:numRef>
          </c:yVal>
          <c:smooth val="1"/>
          <c:extLst>
            <c:ext xmlns:c16="http://schemas.microsoft.com/office/drawing/2014/chart" uri="{C3380CC4-5D6E-409C-BE32-E72D297353CC}">
              <c16:uniqueId val="{00000001-EC1A-492D-A4E9-DA20EFA071ED}"/>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Eff_vs_IOUT!$AN$7:$AN$157</c:f>
              <c:numCache>
                <c:formatCode>General</c:formatCode>
                <c:ptCount val="151"/>
                <c:pt idx="0">
                  <c:v>0.35594999999999999</c:v>
                </c:pt>
                <c:pt idx="1">
                  <c:v>0.46928333333333333</c:v>
                </c:pt>
                <c:pt idx="2">
                  <c:v>0.58261666666666667</c:v>
                </c:pt>
                <c:pt idx="3">
                  <c:v>0.69595000000000007</c:v>
                </c:pt>
                <c:pt idx="4">
                  <c:v>0.80928333333333335</c:v>
                </c:pt>
                <c:pt idx="5">
                  <c:v>0.92261666666666664</c:v>
                </c:pt>
                <c:pt idx="6">
                  <c:v>1.0359500000000001</c:v>
                </c:pt>
                <c:pt idx="7">
                  <c:v>1.1492833333333334</c:v>
                </c:pt>
                <c:pt idx="8">
                  <c:v>1.2626166666666667</c:v>
                </c:pt>
                <c:pt idx="9">
                  <c:v>1.37595</c:v>
                </c:pt>
                <c:pt idx="10">
                  <c:v>1.4892833333333333</c:v>
                </c:pt>
                <c:pt idx="11">
                  <c:v>1.6026166666666666</c:v>
                </c:pt>
                <c:pt idx="12">
                  <c:v>1.7159500000000001</c:v>
                </c:pt>
                <c:pt idx="13">
                  <c:v>1.8292833333333334</c:v>
                </c:pt>
                <c:pt idx="14">
                  <c:v>1.9426166666666667</c:v>
                </c:pt>
                <c:pt idx="15">
                  <c:v>2.0559500000000002</c:v>
                </c:pt>
                <c:pt idx="16">
                  <c:v>2.1692833333333335</c:v>
                </c:pt>
                <c:pt idx="17">
                  <c:v>2.2826166666666667</c:v>
                </c:pt>
                <c:pt idx="18">
                  <c:v>2.39595</c:v>
                </c:pt>
                <c:pt idx="19">
                  <c:v>2.5092833333333333</c:v>
                </c:pt>
                <c:pt idx="20">
                  <c:v>2.6226166666666666</c:v>
                </c:pt>
                <c:pt idx="21">
                  <c:v>2.7359499999999999</c:v>
                </c:pt>
                <c:pt idx="22">
                  <c:v>2.8492833333333332</c:v>
                </c:pt>
                <c:pt idx="23">
                  <c:v>2.9626166666666665</c:v>
                </c:pt>
                <c:pt idx="24">
                  <c:v>3.0759500000000002</c:v>
                </c:pt>
                <c:pt idx="25">
                  <c:v>3.1892833333333335</c:v>
                </c:pt>
                <c:pt idx="26">
                  <c:v>3.3026166666666668</c:v>
                </c:pt>
                <c:pt idx="27">
                  <c:v>3.41595</c:v>
                </c:pt>
                <c:pt idx="28">
                  <c:v>3.5292833333333333</c:v>
                </c:pt>
                <c:pt idx="29">
                  <c:v>3.6426166666666666</c:v>
                </c:pt>
                <c:pt idx="30">
                  <c:v>3.7559499999999999</c:v>
                </c:pt>
                <c:pt idx="31">
                  <c:v>3.8692833333333327</c:v>
                </c:pt>
                <c:pt idx="32">
                  <c:v>3.9826166666666665</c:v>
                </c:pt>
                <c:pt idx="33">
                  <c:v>4.0959500000000002</c:v>
                </c:pt>
                <c:pt idx="34">
                  <c:v>4.2092833333333335</c:v>
                </c:pt>
                <c:pt idx="35">
                  <c:v>4.3226166666666668</c:v>
                </c:pt>
                <c:pt idx="36">
                  <c:v>4.4359500000000001</c:v>
                </c:pt>
                <c:pt idx="37">
                  <c:v>4.5492833333333333</c:v>
                </c:pt>
                <c:pt idx="38">
                  <c:v>4.6626166666666666</c:v>
                </c:pt>
                <c:pt idx="39">
                  <c:v>4.7759499999999999</c:v>
                </c:pt>
                <c:pt idx="40">
                  <c:v>4.8892833333333332</c:v>
                </c:pt>
                <c:pt idx="41">
                  <c:v>5.0026166666666665</c:v>
                </c:pt>
                <c:pt idx="42">
                  <c:v>5.1159499999999998</c:v>
                </c:pt>
                <c:pt idx="43">
                  <c:v>5.2292833333333331</c:v>
                </c:pt>
                <c:pt idx="44">
                  <c:v>5.3426166666666663</c:v>
                </c:pt>
                <c:pt idx="45">
                  <c:v>5.4559499999999996</c:v>
                </c:pt>
                <c:pt idx="46">
                  <c:v>5.5692833333333329</c:v>
                </c:pt>
                <c:pt idx="47">
                  <c:v>5.6826166666666662</c:v>
                </c:pt>
                <c:pt idx="48">
                  <c:v>5.7959500000000004</c:v>
                </c:pt>
                <c:pt idx="49">
                  <c:v>5.9092833333333328</c:v>
                </c:pt>
                <c:pt idx="50">
                  <c:v>6.022616666666667</c:v>
                </c:pt>
                <c:pt idx="51">
                  <c:v>6.1359499999999993</c:v>
                </c:pt>
                <c:pt idx="52">
                  <c:v>6.2492833333333335</c:v>
                </c:pt>
                <c:pt idx="53">
                  <c:v>6.3626166666666659</c:v>
                </c:pt>
                <c:pt idx="54">
                  <c:v>6.4759500000000001</c:v>
                </c:pt>
                <c:pt idx="55">
                  <c:v>6.5892833333333325</c:v>
                </c:pt>
                <c:pt idx="56">
                  <c:v>6.7026166666666667</c:v>
                </c:pt>
                <c:pt idx="57">
                  <c:v>6.81595</c:v>
                </c:pt>
                <c:pt idx="58">
                  <c:v>6.9292833333333332</c:v>
                </c:pt>
                <c:pt idx="59">
                  <c:v>7.0426166666666665</c:v>
                </c:pt>
                <c:pt idx="60">
                  <c:v>7.1559499999999998</c:v>
                </c:pt>
                <c:pt idx="61">
                  <c:v>7.2692833333333331</c:v>
                </c:pt>
                <c:pt idx="62">
                  <c:v>7.3826166666666655</c:v>
                </c:pt>
                <c:pt idx="63">
                  <c:v>7.4959499999999997</c:v>
                </c:pt>
                <c:pt idx="64">
                  <c:v>7.609283333333333</c:v>
                </c:pt>
                <c:pt idx="65">
                  <c:v>7.7226166666666662</c:v>
                </c:pt>
                <c:pt idx="66">
                  <c:v>7.8359500000000004</c:v>
                </c:pt>
                <c:pt idx="67">
                  <c:v>7.9492833333333337</c:v>
                </c:pt>
                <c:pt idx="68">
                  <c:v>8.062616666666667</c:v>
                </c:pt>
                <c:pt idx="69">
                  <c:v>8.1759500000000003</c:v>
                </c:pt>
                <c:pt idx="70">
                  <c:v>8.2892833333333336</c:v>
                </c:pt>
                <c:pt idx="71">
                  <c:v>8.4026166666666668</c:v>
                </c:pt>
                <c:pt idx="72">
                  <c:v>8.5159500000000001</c:v>
                </c:pt>
                <c:pt idx="73">
                  <c:v>8.6292833333333316</c:v>
                </c:pt>
                <c:pt idx="74">
                  <c:v>8.7426166666666667</c:v>
                </c:pt>
                <c:pt idx="75">
                  <c:v>8.85595</c:v>
                </c:pt>
                <c:pt idx="76">
                  <c:v>8.9692833333333333</c:v>
                </c:pt>
                <c:pt idx="77">
                  <c:v>9.0826166666666648</c:v>
                </c:pt>
                <c:pt idx="78">
                  <c:v>9.1959499999999998</c:v>
                </c:pt>
                <c:pt idx="79">
                  <c:v>9.3092833333333331</c:v>
                </c:pt>
                <c:pt idx="80">
                  <c:v>9.4226166666666664</c:v>
                </c:pt>
                <c:pt idx="81">
                  <c:v>9.5359499999999997</c:v>
                </c:pt>
                <c:pt idx="82">
                  <c:v>9.649283333333333</c:v>
                </c:pt>
                <c:pt idx="83">
                  <c:v>9.7626166666666663</c:v>
                </c:pt>
                <c:pt idx="84">
                  <c:v>9.8759499999999996</c:v>
                </c:pt>
                <c:pt idx="85">
                  <c:v>9.9892833333333328</c:v>
                </c:pt>
                <c:pt idx="86">
                  <c:v>10.102616666666666</c:v>
                </c:pt>
                <c:pt idx="87">
                  <c:v>10.215949999999999</c:v>
                </c:pt>
                <c:pt idx="88">
                  <c:v>10.329283333333333</c:v>
                </c:pt>
                <c:pt idx="89">
                  <c:v>10.442616666666666</c:v>
                </c:pt>
                <c:pt idx="90">
                  <c:v>10.555949999999999</c:v>
                </c:pt>
                <c:pt idx="91">
                  <c:v>10.669283333333333</c:v>
                </c:pt>
                <c:pt idx="92">
                  <c:v>10.782616666666666</c:v>
                </c:pt>
                <c:pt idx="93">
                  <c:v>10.895949999999999</c:v>
                </c:pt>
                <c:pt idx="94">
                  <c:v>11.009283333333332</c:v>
                </c:pt>
                <c:pt idx="95">
                  <c:v>11.122616666666666</c:v>
                </c:pt>
                <c:pt idx="96">
                  <c:v>11.235950000000001</c:v>
                </c:pt>
                <c:pt idx="97">
                  <c:v>11.349283333333334</c:v>
                </c:pt>
                <c:pt idx="98">
                  <c:v>11.462616666666666</c:v>
                </c:pt>
                <c:pt idx="99">
                  <c:v>11.575949999999999</c:v>
                </c:pt>
                <c:pt idx="100">
                  <c:v>11.689283333333334</c:v>
                </c:pt>
                <c:pt idx="101">
                  <c:v>11.802616666666667</c:v>
                </c:pt>
                <c:pt idx="102">
                  <c:v>11.915949999999999</c:v>
                </c:pt>
                <c:pt idx="103">
                  <c:v>12.029283333333332</c:v>
                </c:pt>
                <c:pt idx="104">
                  <c:v>12.142616666666667</c:v>
                </c:pt>
                <c:pt idx="105">
                  <c:v>12.25595</c:v>
                </c:pt>
                <c:pt idx="106">
                  <c:v>12.369283333333332</c:v>
                </c:pt>
                <c:pt idx="107">
                  <c:v>12.482616666666665</c:v>
                </c:pt>
                <c:pt idx="108">
                  <c:v>12.59595</c:v>
                </c:pt>
                <c:pt idx="109">
                  <c:v>12.709283333333333</c:v>
                </c:pt>
                <c:pt idx="110">
                  <c:v>12.822616666666665</c:v>
                </c:pt>
                <c:pt idx="111">
                  <c:v>12.935949999999998</c:v>
                </c:pt>
                <c:pt idx="112">
                  <c:v>13.049283333333333</c:v>
                </c:pt>
                <c:pt idx="113">
                  <c:v>13.162616666666667</c:v>
                </c:pt>
                <c:pt idx="114">
                  <c:v>13.27595</c:v>
                </c:pt>
                <c:pt idx="115">
                  <c:v>13.389283333333333</c:v>
                </c:pt>
                <c:pt idx="116">
                  <c:v>13.502616666666666</c:v>
                </c:pt>
                <c:pt idx="117">
                  <c:v>13.61595</c:v>
                </c:pt>
                <c:pt idx="118">
                  <c:v>13.729283333333333</c:v>
                </c:pt>
                <c:pt idx="119">
                  <c:v>13.842616666666666</c:v>
                </c:pt>
                <c:pt idx="120">
                  <c:v>13.95595</c:v>
                </c:pt>
                <c:pt idx="121">
                  <c:v>14.069283333333333</c:v>
                </c:pt>
                <c:pt idx="122">
                  <c:v>14.182616666666666</c:v>
                </c:pt>
                <c:pt idx="123">
                  <c:v>14.295949999999998</c:v>
                </c:pt>
                <c:pt idx="124">
                  <c:v>14.409283333333331</c:v>
                </c:pt>
                <c:pt idx="125">
                  <c:v>14.522616666666668</c:v>
                </c:pt>
                <c:pt idx="126">
                  <c:v>14.635949999999999</c:v>
                </c:pt>
                <c:pt idx="127">
                  <c:v>14.749283333333333</c:v>
                </c:pt>
                <c:pt idx="128">
                  <c:v>14.862616666666666</c:v>
                </c:pt>
                <c:pt idx="129">
                  <c:v>14.975949999999999</c:v>
                </c:pt>
                <c:pt idx="130">
                  <c:v>15.089283333333332</c:v>
                </c:pt>
                <c:pt idx="131">
                  <c:v>15.202616666666664</c:v>
                </c:pt>
                <c:pt idx="132">
                  <c:v>15.315950000000001</c:v>
                </c:pt>
                <c:pt idx="133">
                  <c:v>15.429283333333334</c:v>
                </c:pt>
                <c:pt idx="134">
                  <c:v>15.542616666666667</c:v>
                </c:pt>
                <c:pt idx="135">
                  <c:v>15.655949999999999</c:v>
                </c:pt>
                <c:pt idx="136">
                  <c:v>15.769283333333332</c:v>
                </c:pt>
                <c:pt idx="137">
                  <c:v>15.882616666666665</c:v>
                </c:pt>
                <c:pt idx="138">
                  <c:v>15.995949999999999</c:v>
                </c:pt>
                <c:pt idx="139">
                  <c:v>16.10928333333333</c:v>
                </c:pt>
                <c:pt idx="140">
                  <c:v>16.222616666666667</c:v>
                </c:pt>
                <c:pt idx="141">
                  <c:v>16.33595</c:v>
                </c:pt>
                <c:pt idx="142">
                  <c:v>16.449283333333334</c:v>
                </c:pt>
                <c:pt idx="143">
                  <c:v>16.562616666666667</c:v>
                </c:pt>
                <c:pt idx="144">
                  <c:v>16.67595</c:v>
                </c:pt>
                <c:pt idx="145">
                  <c:v>16.789283333333334</c:v>
                </c:pt>
                <c:pt idx="146">
                  <c:v>16.902616666666663</c:v>
                </c:pt>
                <c:pt idx="147">
                  <c:v>17.01595</c:v>
                </c:pt>
                <c:pt idx="148">
                  <c:v>17.129283333333333</c:v>
                </c:pt>
                <c:pt idx="149">
                  <c:v>17.242616666666667</c:v>
                </c:pt>
                <c:pt idx="150">
                  <c:v>17.35595</c:v>
                </c:pt>
              </c:numCache>
            </c:numRef>
          </c:yVal>
          <c:smooth val="1"/>
          <c:extLst>
            <c:ext xmlns:c16="http://schemas.microsoft.com/office/drawing/2014/chart" uri="{C3380CC4-5D6E-409C-BE32-E72D297353CC}">
              <c16:uniqueId val="{00000002-EC1A-492D-A4E9-DA20EFA071ED}"/>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Eff_vs_IOUT!$AO$7:$AO$157</c:f>
              <c:numCache>
                <c:formatCode>General</c:formatCode>
                <c:ptCount val="151"/>
                <c:pt idx="0">
                  <c:v>0</c:v>
                </c:pt>
                <c:pt idx="1">
                  <c:v>5.1507025999622199E-4</c:v>
                </c:pt>
                <c:pt idx="2">
                  <c:v>1.4568386945233865E-3</c:v>
                </c:pt>
                <c:pt idx="3">
                  <c:v>2.6763835793435042E-3</c:v>
                </c:pt>
                <c:pt idx="4">
                  <c:v>4.1205620799697759E-3</c:v>
                </c:pt>
                <c:pt idx="5">
                  <c:v>5.758660572700215E-3</c:v>
                </c:pt>
                <c:pt idx="6">
                  <c:v>7.5699559120404637E-3</c:v>
                </c:pt>
                <c:pt idx="7">
                  <c:v>9.5392347097276887E-3</c:v>
                </c:pt>
                <c:pt idx="8">
                  <c:v>1.1654709556187094E-2</c:v>
                </c:pt>
                <c:pt idx="9">
                  <c:v>1.3906897019897998E-2</c:v>
                </c:pt>
                <c:pt idx="10">
                  <c:v>1.6287951766031719E-2</c:v>
                </c:pt>
                <c:pt idx="11">
                  <c:v>1.8791242723860985E-2</c:v>
                </c:pt>
                <c:pt idx="12">
                  <c:v>2.1411068634748034E-2</c:v>
                </c:pt>
                <c:pt idx="13">
                  <c:v>2.4142459027478316E-2</c:v>
                </c:pt>
                <c:pt idx="14">
                  <c:v>2.698103020231413E-2</c:v>
                </c:pt>
                <c:pt idx="15">
                  <c:v>2.9922878086381381E-2</c:v>
                </c:pt>
                <c:pt idx="16">
                  <c:v>3.2964496639758208E-2</c:v>
                </c:pt>
                <c:pt idx="17">
                  <c:v>3.6102714471839159E-2</c:v>
                </c:pt>
                <c:pt idx="18">
                  <c:v>4.6440342892224255E-2</c:v>
                </c:pt>
                <c:pt idx="19">
                  <c:v>5.0693650377854921E-2</c:v>
                </c:pt>
                <c:pt idx="20">
                  <c:v>5.5176866376222461E-2</c:v>
                </c:pt>
                <c:pt idx="21">
                  <c:v>5.9889990887326772E-2</c:v>
                </c:pt>
                <c:pt idx="22">
                  <c:v>6.4833023911167867E-2</c:v>
                </c:pt>
                <c:pt idx="23">
                  <c:v>7.0005965447745747E-2</c:v>
                </c:pt>
                <c:pt idx="24">
                  <c:v>7.540881549706048E-2</c:v>
                </c:pt>
                <c:pt idx="25">
                  <c:v>8.1041574059111984E-2</c:v>
                </c:pt>
                <c:pt idx="26">
                  <c:v>8.6904241133900231E-2</c:v>
                </c:pt>
                <c:pt idx="27">
                  <c:v>9.2996816721425277E-2</c:v>
                </c:pt>
                <c:pt idx="28">
                  <c:v>9.9319300821687218E-2</c:v>
                </c:pt>
                <c:pt idx="29">
                  <c:v>0.1058716934346859</c:v>
                </c:pt>
                <c:pt idx="30">
                  <c:v>0.11265399456042138</c:v>
                </c:pt>
                <c:pt idx="31">
                  <c:v>0.11966620419889357</c:v>
                </c:pt>
                <c:pt idx="32">
                  <c:v>0.12690832235010274</c:v>
                </c:pt>
                <c:pt idx="33">
                  <c:v>0.13438034901404858</c:v>
                </c:pt>
                <c:pt idx="34">
                  <c:v>0.14208228419073118</c:v>
                </c:pt>
                <c:pt idx="35">
                  <c:v>0.15001412788015064</c:v>
                </c:pt>
                <c:pt idx="36">
                  <c:v>0.15817588008230696</c:v>
                </c:pt>
                <c:pt idx="37">
                  <c:v>0.16656754079719993</c:v>
                </c:pt>
                <c:pt idx="38">
                  <c:v>0.17518911002482976</c:v>
                </c:pt>
                <c:pt idx="39">
                  <c:v>0.18404058776519647</c:v>
                </c:pt>
                <c:pt idx="40">
                  <c:v>0.19312197401829972</c:v>
                </c:pt>
                <c:pt idx="41">
                  <c:v>0.20243326878414006</c:v>
                </c:pt>
                <c:pt idx="42">
                  <c:v>0.21197447206271708</c:v>
                </c:pt>
                <c:pt idx="43">
                  <c:v>0.22174558385403087</c:v>
                </c:pt>
                <c:pt idx="44">
                  <c:v>0.23174660415808152</c:v>
                </c:pt>
                <c:pt idx="45">
                  <c:v>0.24197753297486885</c:v>
                </c:pt>
                <c:pt idx="46">
                  <c:v>0.25243837030439298</c:v>
                </c:pt>
                <c:pt idx="47">
                  <c:v>0.26312911614665419</c:v>
                </c:pt>
                <c:pt idx="48">
                  <c:v>0.27404977050165197</c:v>
                </c:pt>
                <c:pt idx="49">
                  <c:v>0.28520033336938638</c:v>
                </c:pt>
                <c:pt idx="50">
                  <c:v>0.29658080474985776</c:v>
                </c:pt>
                <c:pt idx="51">
                  <c:v>0.30819118464306589</c:v>
                </c:pt>
                <c:pt idx="52">
                  <c:v>0.32003147304901081</c:v>
                </c:pt>
                <c:pt idx="53">
                  <c:v>0.33210166996769275</c:v>
                </c:pt>
                <c:pt idx="54">
                  <c:v>0.34440177539911127</c:v>
                </c:pt>
                <c:pt idx="55">
                  <c:v>0.35693178934326664</c:v>
                </c:pt>
                <c:pt idx="56">
                  <c:v>0.36969171180015886</c:v>
                </c:pt>
                <c:pt idx="57">
                  <c:v>0.38268154276978772</c:v>
                </c:pt>
                <c:pt idx="58">
                  <c:v>0.39590128225215349</c:v>
                </c:pt>
                <c:pt idx="59">
                  <c:v>0.40935093024725627</c:v>
                </c:pt>
                <c:pt idx="60">
                  <c:v>0.4230304867550953</c:v>
                </c:pt>
                <c:pt idx="61">
                  <c:v>0.43693995177567163</c:v>
                </c:pt>
                <c:pt idx="62">
                  <c:v>0.45107932530898409</c:v>
                </c:pt>
                <c:pt idx="63">
                  <c:v>0.46544860735503407</c:v>
                </c:pt>
                <c:pt idx="64">
                  <c:v>0.48004779791382057</c:v>
                </c:pt>
                <c:pt idx="65">
                  <c:v>0.49487689698534371</c:v>
                </c:pt>
                <c:pt idx="66">
                  <c:v>0.50993590456960436</c:v>
                </c:pt>
                <c:pt idx="67">
                  <c:v>0.52522482066660103</c:v>
                </c:pt>
                <c:pt idx="68">
                  <c:v>0.54074364527633445</c:v>
                </c:pt>
                <c:pt idx="69">
                  <c:v>0.55649237839880505</c:v>
                </c:pt>
                <c:pt idx="70">
                  <c:v>0.57247102003401262</c:v>
                </c:pt>
                <c:pt idx="71">
                  <c:v>0.58867957018195638</c:v>
                </c:pt>
                <c:pt idx="72">
                  <c:v>0.60511802884263732</c:v>
                </c:pt>
                <c:pt idx="73">
                  <c:v>0.62178639601605512</c:v>
                </c:pt>
                <c:pt idx="74">
                  <c:v>0.63868467170220966</c:v>
                </c:pt>
                <c:pt idx="75">
                  <c:v>0.65581285590110083</c:v>
                </c:pt>
                <c:pt idx="76">
                  <c:v>0.67317094861272875</c:v>
                </c:pt>
                <c:pt idx="77">
                  <c:v>0.69075894983709374</c:v>
                </c:pt>
                <c:pt idx="78">
                  <c:v>0.70857685957419547</c:v>
                </c:pt>
                <c:pt idx="79">
                  <c:v>0.72662467782403373</c:v>
                </c:pt>
                <c:pt idx="80">
                  <c:v>0.74490240458660906</c:v>
                </c:pt>
                <c:pt idx="81">
                  <c:v>0.76341003986192124</c:v>
                </c:pt>
                <c:pt idx="82">
                  <c:v>0.78214758364996995</c:v>
                </c:pt>
                <c:pt idx="83">
                  <c:v>0.80111503595075573</c:v>
                </c:pt>
                <c:pt idx="84">
                  <c:v>0.82031239676427803</c:v>
                </c:pt>
                <c:pt idx="85">
                  <c:v>0.8397396660905373</c:v>
                </c:pt>
                <c:pt idx="86">
                  <c:v>0.85939684392953353</c:v>
                </c:pt>
                <c:pt idx="87">
                  <c:v>0.87928393028126606</c:v>
                </c:pt>
                <c:pt idx="88">
                  <c:v>0.89940092514573555</c:v>
                </c:pt>
                <c:pt idx="89">
                  <c:v>0.91974782852294257</c:v>
                </c:pt>
                <c:pt idx="90">
                  <c:v>0.94032464041288533</c:v>
                </c:pt>
                <c:pt idx="91">
                  <c:v>0.96113136081556472</c:v>
                </c:pt>
                <c:pt idx="92">
                  <c:v>0.98216798973098196</c:v>
                </c:pt>
                <c:pt idx="93">
                  <c:v>1.0034345271591356</c:v>
                </c:pt>
                <c:pt idx="94">
                  <c:v>1.0249309731000256</c:v>
                </c:pt>
                <c:pt idx="95">
                  <c:v>1.0466573275536533</c:v>
                </c:pt>
                <c:pt idx="96">
                  <c:v>1.0686135905200171</c:v>
                </c:pt>
                <c:pt idx="97">
                  <c:v>1.0907997619991172</c:v>
                </c:pt>
                <c:pt idx="98">
                  <c:v>1.1132158419909557</c:v>
                </c:pt>
                <c:pt idx="99">
                  <c:v>1.1358618304955292</c:v>
                </c:pt>
                <c:pt idx="100">
                  <c:v>1.1587377275128414</c:v>
                </c:pt>
                <c:pt idx="101">
                  <c:v>1.1818435330428889</c:v>
                </c:pt>
                <c:pt idx="102">
                  <c:v>1.2051792470856735</c:v>
                </c:pt>
                <c:pt idx="103">
                  <c:v>1.2287448696411953</c:v>
                </c:pt>
                <c:pt idx="104">
                  <c:v>1.2525404007094534</c:v>
                </c:pt>
                <c:pt idx="105">
                  <c:v>1.2765658402904485</c:v>
                </c:pt>
                <c:pt idx="106">
                  <c:v>1.3008211883841807</c:v>
                </c:pt>
                <c:pt idx="107">
                  <c:v>1.3253064449906489</c:v>
                </c:pt>
                <c:pt idx="108">
                  <c:v>1.350021610109855</c:v>
                </c:pt>
                <c:pt idx="109">
                  <c:v>1.3749666837417975</c:v>
                </c:pt>
                <c:pt idx="110">
                  <c:v>1.4001416658864758</c:v>
                </c:pt>
                <c:pt idx="111">
                  <c:v>1.4255465565438923</c:v>
                </c:pt>
                <c:pt idx="112">
                  <c:v>1.4511813557140447</c:v>
                </c:pt>
                <c:pt idx="113">
                  <c:v>1.4770460633969347</c:v>
                </c:pt>
                <c:pt idx="114">
                  <c:v>1.5031406795925608</c:v>
                </c:pt>
                <c:pt idx="115">
                  <c:v>1.5294652043009238</c:v>
                </c:pt>
                <c:pt idx="116">
                  <c:v>1.5560196375220241</c:v>
                </c:pt>
                <c:pt idx="117">
                  <c:v>1.5828039792558601</c:v>
                </c:pt>
                <c:pt idx="118">
                  <c:v>1.6098182295024335</c:v>
                </c:pt>
                <c:pt idx="119">
                  <c:v>1.6370623882617448</c:v>
                </c:pt>
                <c:pt idx="120">
                  <c:v>1.6645364555337909</c:v>
                </c:pt>
                <c:pt idx="121">
                  <c:v>1.6922404313185753</c:v>
                </c:pt>
                <c:pt idx="122">
                  <c:v>1.7201743156160954</c:v>
                </c:pt>
                <c:pt idx="123">
                  <c:v>1.7483381084263525</c:v>
                </c:pt>
                <c:pt idx="124">
                  <c:v>1.7767318097493465</c:v>
                </c:pt>
                <c:pt idx="125">
                  <c:v>1.8053554195850787</c:v>
                </c:pt>
                <c:pt idx="126">
                  <c:v>1.8342089379335469</c:v>
                </c:pt>
                <c:pt idx="127">
                  <c:v>1.8632923647947504</c:v>
                </c:pt>
                <c:pt idx="128">
                  <c:v>1.8926057001686929</c:v>
                </c:pt>
                <c:pt idx="129">
                  <c:v>1.9221489440553703</c:v>
                </c:pt>
                <c:pt idx="130">
                  <c:v>1.9519220964547854</c:v>
                </c:pt>
                <c:pt idx="131">
                  <c:v>1.9819251573669374</c:v>
                </c:pt>
                <c:pt idx="132">
                  <c:v>2.0121581267918272</c:v>
                </c:pt>
                <c:pt idx="133">
                  <c:v>2.0426210047294515</c:v>
                </c:pt>
                <c:pt idx="134">
                  <c:v>2.0733137911798138</c:v>
                </c:pt>
                <c:pt idx="135">
                  <c:v>2.1042364861429133</c:v>
                </c:pt>
                <c:pt idx="136">
                  <c:v>2.1353890896187484</c:v>
                </c:pt>
                <c:pt idx="137">
                  <c:v>2.1667716016073211</c:v>
                </c:pt>
                <c:pt idx="138">
                  <c:v>2.1983840221086304</c:v>
                </c:pt>
                <c:pt idx="139">
                  <c:v>2.2302263511226759</c:v>
                </c:pt>
                <c:pt idx="140">
                  <c:v>2.2622985886494602</c:v>
                </c:pt>
                <c:pt idx="141">
                  <c:v>2.2946007346889794</c:v>
                </c:pt>
                <c:pt idx="142">
                  <c:v>2.3271327892412352</c:v>
                </c:pt>
                <c:pt idx="143">
                  <c:v>2.3598947523062295</c:v>
                </c:pt>
                <c:pt idx="144">
                  <c:v>2.3928866238839599</c:v>
                </c:pt>
                <c:pt idx="145">
                  <c:v>2.4261084039744261</c:v>
                </c:pt>
                <c:pt idx="146">
                  <c:v>2.4595600925776302</c:v>
                </c:pt>
                <c:pt idx="147">
                  <c:v>2.4932416896935714</c:v>
                </c:pt>
                <c:pt idx="148">
                  <c:v>2.5271531953222488</c:v>
                </c:pt>
                <c:pt idx="149">
                  <c:v>2.5612946094636619</c:v>
                </c:pt>
                <c:pt idx="150">
                  <c:v>2.5956659321178135</c:v>
                </c:pt>
              </c:numCache>
            </c:numRef>
          </c:yVal>
          <c:smooth val="1"/>
          <c:extLst>
            <c:ext xmlns:c16="http://schemas.microsoft.com/office/drawing/2014/chart" uri="{C3380CC4-5D6E-409C-BE32-E72D297353CC}">
              <c16:uniqueId val="{00000003-EC1A-492D-A4E9-DA20EFA071ED}"/>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Eff_vs_IOUT!$AT$7:$AT$157</c:f>
              <c:numCache>
                <c:formatCode>General</c:formatCode>
                <c:ptCount val="151"/>
                <c:pt idx="0">
                  <c:v>0</c:v>
                </c:pt>
                <c:pt idx="1">
                  <c:v>89.495978531737194</c:v>
                </c:pt>
                <c:pt idx="2">
                  <c:v>92.607287857653162</c:v>
                </c:pt>
                <c:pt idx="3">
                  <c:v>93.686337840994568</c:v>
                </c:pt>
                <c:pt idx="4">
                  <c:v>94.231243242246009</c:v>
                </c:pt>
                <c:pt idx="5">
                  <c:v>94.558385310393874</c:v>
                </c:pt>
                <c:pt idx="6">
                  <c:v>94.775610672141084</c:v>
                </c:pt>
                <c:pt idx="7">
                  <c:v>94.929709639918315</c:v>
                </c:pt>
                <c:pt idx="8">
                  <c:v>95.044254342056192</c:v>
                </c:pt>
                <c:pt idx="9">
                  <c:v>95.132404405589739</c:v>
                </c:pt>
                <c:pt idx="10">
                  <c:v>95.202080914709725</c:v>
                </c:pt>
                <c:pt idx="11">
                  <c:v>95.258334959527048</c:v>
                </c:pt>
                <c:pt idx="12">
                  <c:v>95.30453811536519</c:v>
                </c:pt>
                <c:pt idx="13">
                  <c:v>95.343026006409275</c:v>
                </c:pt>
                <c:pt idx="14">
                  <c:v>95.375467172841581</c:v>
                </c:pt>
                <c:pt idx="15">
                  <c:v>95.403084910841571</c:v>
                </c:pt>
                <c:pt idx="16">
                  <c:v>95.426796174658264</c:v>
                </c:pt>
                <c:pt idx="17">
                  <c:v>95.447301580114839</c:v>
                </c:pt>
                <c:pt idx="18">
                  <c:v>95.42768921910195</c:v>
                </c:pt>
                <c:pt idx="19">
                  <c:v>95.44090708118415</c:v>
                </c:pt>
                <c:pt idx="20">
                  <c:v>95.451909210088132</c:v>
                </c:pt>
                <c:pt idx="21">
                  <c:v>95.461011180496897</c:v>
                </c:pt>
                <c:pt idx="22">
                  <c:v>95.468471397646013</c:v>
                </c:pt>
                <c:pt idx="23">
                  <c:v>95.474503482392862</c:v>
                </c:pt>
                <c:pt idx="24">
                  <c:v>95.479285570303531</c:v>
                </c:pt>
                <c:pt idx="25">
                  <c:v>95.482967386076567</c:v>
                </c:pt>
                <c:pt idx="26">
                  <c:v>95.485675690414539</c:v>
                </c:pt>
                <c:pt idx="27">
                  <c:v>95.48751852005482</c:v>
                </c:pt>
                <c:pt idx="28">
                  <c:v>95.488588521810669</c:v>
                </c:pt>
                <c:pt idx="29">
                  <c:v>95.488965598707793</c:v>
                </c:pt>
                <c:pt idx="30">
                  <c:v>95.488719028301134</c:v>
                </c:pt>
                <c:pt idx="31">
                  <c:v>95.487909172049896</c:v>
                </c:pt>
                <c:pt idx="32">
                  <c:v>95.486588864983958</c:v>
                </c:pt>
                <c:pt idx="33">
                  <c:v>95.48480455331449</c:v>
                </c:pt>
                <c:pt idx="34">
                  <c:v>95.482597231761204</c:v>
                </c:pt>
                <c:pt idx="35">
                  <c:v>95.480003220560903</c:v>
                </c:pt>
                <c:pt idx="36">
                  <c:v>95.477054813262143</c:v>
                </c:pt>
                <c:pt idx="37">
                  <c:v>95.473780819698405</c:v>
                </c:pt>
                <c:pt idx="38">
                  <c:v>95.470207023408832</c:v>
                </c:pt>
                <c:pt idx="39">
                  <c:v>95.466356568830662</c:v>
                </c:pt>
                <c:pt idx="40">
                  <c:v>95.462250290528601</c:v>
                </c:pt>
                <c:pt idx="41">
                  <c:v>95.457906994338103</c:v>
                </c:pt>
                <c:pt idx="42">
                  <c:v>95.453343698421762</c:v>
                </c:pt>
                <c:pt idx="43">
                  <c:v>95.448575840752298</c:v>
                </c:pt>
                <c:pt idx="44">
                  <c:v>95.443617458353714</c:v>
                </c:pt>
                <c:pt idx="45">
                  <c:v>95.438481342686117</c:v>
                </c:pt>
                <c:pt idx="46">
                  <c:v>95.43317917479817</c:v>
                </c:pt>
                <c:pt idx="47">
                  <c:v>95.427721643255211</c:v>
                </c:pt>
                <c:pt idx="48">
                  <c:v>95.422118547351019</c:v>
                </c:pt>
                <c:pt idx="49">
                  <c:v>95.416378887701882</c:v>
                </c:pt>
                <c:pt idx="50">
                  <c:v>95.410510945986843</c:v>
                </c:pt>
                <c:pt idx="51">
                  <c:v>95.404522355321376</c:v>
                </c:pt>
                <c:pt idx="52">
                  <c:v>95.39842016252355</c:v>
                </c:pt>
                <c:pt idx="53">
                  <c:v>95.392210883341662</c:v>
                </c:pt>
                <c:pt idx="54">
                  <c:v>95.385900551554755</c:v>
                </c:pt>
                <c:pt idx="55">
                  <c:v>95.379494762724406</c:v>
                </c:pt>
                <c:pt idx="56">
                  <c:v>95.37299871326536</c:v>
                </c:pt>
                <c:pt idx="57">
                  <c:v>95.366417235409514</c:v>
                </c:pt>
                <c:pt idx="58">
                  <c:v>95.359754828557669</c:v>
                </c:pt>
                <c:pt idx="59">
                  <c:v>95.353015687447439</c:v>
                </c:pt>
                <c:pt idx="60">
                  <c:v>95.346203727508026</c:v>
                </c:pt>
                <c:pt idx="61">
                  <c:v>95.339322607724412</c:v>
                </c:pt>
                <c:pt idx="62">
                  <c:v>95.332375751291693</c:v>
                </c:pt>
                <c:pt idx="63">
                  <c:v>95.32536636430487</c:v>
                </c:pt>
                <c:pt idx="64">
                  <c:v>95.318297452698602</c:v>
                </c:pt>
                <c:pt idx="65">
                  <c:v>95.311171837625295</c:v>
                </c:pt>
                <c:pt idx="66">
                  <c:v>95.303992169436768</c:v>
                </c:pt>
                <c:pt idx="67">
                  <c:v>95.296760940415425</c:v>
                </c:pt>
                <c:pt idx="68">
                  <c:v>95.289480496383334</c:v>
                </c:pt>
                <c:pt idx="69">
                  <c:v>95.282153047303055</c:v>
                </c:pt>
                <c:pt idx="70">
                  <c:v>95.274780676970778</c:v>
                </c:pt>
                <c:pt idx="71">
                  <c:v>95.267365351891357</c:v>
                </c:pt>
                <c:pt idx="72">
                  <c:v>95.259908929414422</c:v>
                </c:pt>
                <c:pt idx="73">
                  <c:v>95.252413165202682</c:v>
                </c:pt>
                <c:pt idx="74">
                  <c:v>95.244879720095255</c:v>
                </c:pt>
                <c:pt idx="75">
                  <c:v>95.237310166422418</c:v>
                </c:pt>
                <c:pt idx="76">
                  <c:v>95.229705993822549</c:v>
                </c:pt>
                <c:pt idx="77">
                  <c:v>95.222068614606115</c:v>
                </c:pt>
                <c:pt idx="78">
                  <c:v>95.214399368707603</c:v>
                </c:pt>
                <c:pt idx="79">
                  <c:v>95.206699528261552</c:v>
                </c:pt>
                <c:pt idx="80">
                  <c:v>95.198970301835843</c:v>
                </c:pt>
                <c:pt idx="81">
                  <c:v>95.191212838351774</c:v>
                </c:pt>
                <c:pt idx="82">
                  <c:v>95.183428230717496</c:v>
                </c:pt>
                <c:pt idx="83">
                  <c:v>95.17561751919898</c:v>
                </c:pt>
                <c:pt idx="84">
                  <c:v>95.167781694550641</c:v>
                </c:pt>
                <c:pt idx="85">
                  <c:v>95.159921700924926</c:v>
                </c:pt>
                <c:pt idx="86">
                  <c:v>95.152038438579297</c:v>
                </c:pt>
                <c:pt idx="87">
                  <c:v>95.144132766396595</c:v>
                </c:pt>
                <c:pt idx="88">
                  <c:v>95.1362055042338</c:v>
                </c:pt>
                <c:pt idx="89">
                  <c:v>95.128257435112459</c:v>
                </c:pt>
                <c:pt idx="90">
                  <c:v>95.120289307263334</c:v>
                </c:pt>
                <c:pt idx="91">
                  <c:v>95.112301836036352</c:v>
                </c:pt>
                <c:pt idx="92">
                  <c:v>95.104295705685928</c:v>
                </c:pt>
                <c:pt idx="93">
                  <c:v>95.096271571041513</c:v>
                </c:pt>
                <c:pt idx="94">
                  <c:v>95.088230059071307</c:v>
                </c:pt>
                <c:pt idx="95">
                  <c:v>95.080171770347462</c:v>
                </c:pt>
                <c:pt idx="96">
                  <c:v>95.072097280419783</c:v>
                </c:pt>
                <c:pt idx="97">
                  <c:v>95.064007141104383</c:v>
                </c:pt>
                <c:pt idx="98">
                  <c:v>95.055901881693671</c:v>
                </c:pt>
                <c:pt idx="99">
                  <c:v>95.04778201009303</c:v>
                </c:pt>
                <c:pt idx="100">
                  <c:v>95.039648013889234</c:v>
                </c:pt>
                <c:pt idx="101">
                  <c:v>95.031500361355654</c:v>
                </c:pt>
                <c:pt idx="102">
                  <c:v>95.023339502398159</c:v>
                </c:pt>
                <c:pt idx="103">
                  <c:v>95.015165869446051</c:v>
                </c:pt>
                <c:pt idx="104">
                  <c:v>95.006979878291759</c:v>
                </c:pt>
                <c:pt idx="105">
                  <c:v>94.99878192888238</c:v>
                </c:pt>
                <c:pt idx="106">
                  <c:v>94.990572406066562</c:v>
                </c:pt>
                <c:pt idx="107">
                  <c:v>94.98235168029953</c:v>
                </c:pt>
                <c:pt idx="108">
                  <c:v>94.974120108308995</c:v>
                </c:pt>
                <c:pt idx="109">
                  <c:v>94.965878033724309</c:v>
                </c:pt>
                <c:pt idx="110">
                  <c:v>94.957625787671518</c:v>
                </c:pt>
                <c:pt idx="111">
                  <c:v>94.949363689336138</c:v>
                </c:pt>
                <c:pt idx="112">
                  <c:v>94.941092046495868</c:v>
                </c:pt>
                <c:pt idx="113">
                  <c:v>94.932811156024925</c:v>
                </c:pt>
                <c:pt idx="114">
                  <c:v>94.92452130437205</c:v>
                </c:pt>
                <c:pt idx="115">
                  <c:v>94.916222768013427</c:v>
                </c:pt>
                <c:pt idx="116">
                  <c:v>94.907915813882198</c:v>
                </c:pt>
                <c:pt idx="117">
                  <c:v>94.899600699776158</c:v>
                </c:pt>
                <c:pt idx="118">
                  <c:v>94.89127767474443</c:v>
                </c:pt>
                <c:pt idx="119">
                  <c:v>94.882946979454928</c:v>
                </c:pt>
                <c:pt idx="120">
                  <c:v>94.874608846543268</c:v>
                </c:pt>
                <c:pt idx="121">
                  <c:v>94.866263500944541</c:v>
                </c:pt>
                <c:pt idx="122">
                  <c:v>94.857911160208644</c:v>
                </c:pt>
                <c:pt idx="123">
                  <c:v>94.849552034800382</c:v>
                </c:pt>
                <c:pt idx="124">
                  <c:v>94.841186328384907</c:v>
                </c:pt>
                <c:pt idx="125">
                  <c:v>94.832814238099559</c:v>
                </c:pt>
                <c:pt idx="126">
                  <c:v>94.824435954812742</c:v>
                </c:pt>
                <c:pt idx="127">
                  <c:v>94.816051663370615</c:v>
                </c:pt>
                <c:pt idx="128">
                  <c:v>94.807661542832193</c:v>
                </c:pt>
                <c:pt idx="129">
                  <c:v>94.799265766693438</c:v>
                </c:pt>
                <c:pt idx="130">
                  <c:v>94.790864503101261</c:v>
                </c:pt>
                <c:pt idx="131">
                  <c:v>94.782457915057378</c:v>
                </c:pt>
                <c:pt idx="132">
                  <c:v>94.774046160613238</c:v>
                </c:pt>
                <c:pt idx="133">
                  <c:v>94.765629393055946</c:v>
                </c:pt>
                <c:pt idx="134">
                  <c:v>94.757207761085937</c:v>
                </c:pt>
                <c:pt idx="135">
                  <c:v>94.748781408986844</c:v>
                </c:pt>
                <c:pt idx="136">
                  <c:v>94.740350476787654</c:v>
                </c:pt>
                <c:pt idx="137">
                  <c:v>94.731915100417979</c:v>
                </c:pt>
                <c:pt idx="138">
                  <c:v>94.723475411856512</c:v>
                </c:pt>
                <c:pt idx="139">
                  <c:v>94.715031539273099</c:v>
                </c:pt>
                <c:pt idx="140">
                  <c:v>94.706583607164589</c:v>
                </c:pt>
                <c:pt idx="141">
                  <c:v>94.698131736485081</c:v>
                </c:pt>
                <c:pt idx="142">
                  <c:v>94.689676044770678</c:v>
                </c:pt>
                <c:pt idx="143">
                  <c:v>94.681216646258775</c:v>
                </c:pt>
                <c:pt idx="144">
                  <c:v>94.672753652002683</c:v>
                </c:pt>
                <c:pt idx="145">
                  <c:v>94.664287169981293</c:v>
                </c:pt>
                <c:pt idx="146">
                  <c:v>94.655817305204351</c:v>
                </c:pt>
                <c:pt idx="147">
                  <c:v>94.647344159813329</c:v>
                </c:pt>
                <c:pt idx="148">
                  <c:v>94.638867833178423</c:v>
                </c:pt>
                <c:pt idx="149">
                  <c:v>94.630388421991327</c:v>
                </c:pt>
                <c:pt idx="150">
                  <c:v>94.621906020354629</c:v>
                </c:pt>
              </c:numCache>
            </c:numRef>
          </c:yVal>
          <c:smooth val="0"/>
          <c:extLst>
            <c:ext xmlns:c16="http://schemas.microsoft.com/office/drawing/2014/chart" uri="{C3380CC4-5D6E-409C-BE32-E72D297353CC}">
              <c16:uniqueId val="{00000000-A4E5-4116-B7B6-D18D5BCA04D7}"/>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Eff_vs_IOUT!$AI$7:$AI$157</c:f>
              <c:numCache>
                <c:formatCode>General</c:formatCode>
                <c:ptCount val="151"/>
                <c:pt idx="0">
                  <c:v>0</c:v>
                </c:pt>
                <c:pt idx="1">
                  <c:v>0.16528514416825191</c:v>
                </c:pt>
                <c:pt idx="2">
                  <c:v>0.33211296635211568</c:v>
                </c:pt>
                <c:pt idx="3">
                  <c:v>0.49994505724088467</c:v>
                </c:pt>
                <c:pt idx="4">
                  <c:v>0.66858928504833759</c:v>
                </c:pt>
                <c:pt idx="5">
                  <c:v>0.83793460821185906</c:v>
                </c:pt>
                <c:pt idx="6">
                  <c:v>1.0079061045900473</c:v>
                </c:pt>
                <c:pt idx="7">
                  <c:v>1.1784487719330279</c:v>
                </c:pt>
                <c:pt idx="8">
                  <c:v>1.3495199942215703</c:v>
                </c:pt>
                <c:pt idx="9">
                  <c:v>1.5210854852032516</c:v>
                </c:pt>
                <c:pt idx="10">
                  <c:v>1.6931168809752313</c:v>
                </c:pt>
                <c:pt idx="11">
                  <c:v>1.8655902076664181</c:v>
                </c:pt>
                <c:pt idx="12">
                  <c:v>2.0384848530340447</c:v>
                </c:pt>
                <c:pt idx="13">
                  <c:v>2.2117828469129508</c:v>
                </c:pt>
                <c:pt idx="14">
                  <c:v>2.3854683405425452</c:v>
                </c:pt>
                <c:pt idx="15">
                  <c:v>2.5595272191978236</c:v>
                </c:pt>
                <c:pt idx="16">
                  <c:v>2.7339468071959905</c:v>
                </c:pt>
                <c:pt idx="17">
                  <c:v>2.9087156387402402</c:v>
                </c:pt>
                <c:pt idx="18">
                  <c:v>3.1095131085652823</c:v>
                </c:pt>
                <c:pt idx="19">
                  <c:v>3.2883134180877511</c:v>
                </c:pt>
                <c:pt idx="20">
                  <c:v>3.4679449353101144</c:v>
                </c:pt>
                <c:pt idx="21">
                  <c:v>3.6484076602323734</c:v>
                </c:pt>
                <c:pt idx="22">
                  <c:v>3.8297015928545255</c:v>
                </c:pt>
                <c:pt idx="23">
                  <c:v>4.011826733176572</c:v>
                </c:pt>
                <c:pt idx="24">
                  <c:v>4.1947830811985147</c:v>
                </c:pt>
                <c:pt idx="25">
                  <c:v>4.3785706369203519</c:v>
                </c:pt>
                <c:pt idx="26">
                  <c:v>4.5631894003420816</c:v>
                </c:pt>
                <c:pt idx="27">
                  <c:v>4.7486393714637067</c:v>
                </c:pt>
                <c:pt idx="28">
                  <c:v>4.9349205502852262</c:v>
                </c:pt>
                <c:pt idx="29">
                  <c:v>5.122032936806642</c:v>
                </c:pt>
                <c:pt idx="30">
                  <c:v>5.3099765310279512</c:v>
                </c:pt>
                <c:pt idx="31">
                  <c:v>5.498751332949154</c:v>
                </c:pt>
                <c:pt idx="32">
                  <c:v>5.6883573425702547</c:v>
                </c:pt>
                <c:pt idx="33">
                  <c:v>5.8787945598912472</c:v>
                </c:pt>
                <c:pt idx="34">
                  <c:v>6.0700629849121324</c:v>
                </c:pt>
                <c:pt idx="35">
                  <c:v>6.2621626176329146</c:v>
                </c:pt>
                <c:pt idx="36">
                  <c:v>6.4550934580535912</c:v>
                </c:pt>
                <c:pt idx="37">
                  <c:v>6.6488555061741641</c:v>
                </c:pt>
                <c:pt idx="38">
                  <c:v>6.8434487619946278</c:v>
                </c:pt>
                <c:pt idx="39">
                  <c:v>7.0388732255149895</c:v>
                </c:pt>
                <c:pt idx="40">
                  <c:v>7.2351288967352421</c:v>
                </c:pt>
                <c:pt idx="41">
                  <c:v>7.4322157756553935</c:v>
                </c:pt>
                <c:pt idx="42">
                  <c:v>7.6301338622754376</c:v>
                </c:pt>
                <c:pt idx="43">
                  <c:v>7.8288831565953769</c:v>
                </c:pt>
                <c:pt idx="44">
                  <c:v>8.0284636586152089</c:v>
                </c:pt>
                <c:pt idx="45">
                  <c:v>8.2288753683349363</c:v>
                </c:pt>
                <c:pt idx="46">
                  <c:v>8.4301182857545562</c:v>
                </c:pt>
                <c:pt idx="47">
                  <c:v>8.632192410874076</c:v>
                </c:pt>
                <c:pt idx="48">
                  <c:v>8.8350977436934883</c:v>
                </c:pt>
                <c:pt idx="49">
                  <c:v>9.0388342842127933</c:v>
                </c:pt>
                <c:pt idx="50">
                  <c:v>9.2434020324319963</c:v>
                </c:pt>
                <c:pt idx="51">
                  <c:v>9.4488009883510884</c:v>
                </c:pt>
                <c:pt idx="52">
                  <c:v>9.6550311519700784</c:v>
                </c:pt>
                <c:pt idx="53">
                  <c:v>9.8620925232889629</c:v>
                </c:pt>
                <c:pt idx="54">
                  <c:v>10.06998510230774</c:v>
                </c:pt>
                <c:pt idx="55">
                  <c:v>10.278708889026413</c:v>
                </c:pt>
                <c:pt idx="56">
                  <c:v>10.488263883444981</c:v>
                </c:pt>
                <c:pt idx="57">
                  <c:v>10.698650085563445</c:v>
                </c:pt>
                <c:pt idx="58">
                  <c:v>10.909867495381803</c:v>
                </c:pt>
                <c:pt idx="59">
                  <c:v>11.121916112900056</c:v>
                </c:pt>
                <c:pt idx="60">
                  <c:v>11.3347959381182</c:v>
                </c:pt>
                <c:pt idx="61">
                  <c:v>11.54850697103624</c:v>
                </c:pt>
                <c:pt idx="62">
                  <c:v>11.763049211654174</c:v>
                </c:pt>
                <c:pt idx="63">
                  <c:v>11.978422659972006</c:v>
                </c:pt>
                <c:pt idx="64">
                  <c:v>12.194627315989733</c:v>
                </c:pt>
                <c:pt idx="65">
                  <c:v>12.41166317970735</c:v>
                </c:pt>
                <c:pt idx="66">
                  <c:v>12.629530251124866</c:v>
                </c:pt>
                <c:pt idx="67">
                  <c:v>12.848228530242272</c:v>
                </c:pt>
                <c:pt idx="68">
                  <c:v>13.067758017059573</c:v>
                </c:pt>
                <c:pt idx="69">
                  <c:v>13.28811871157677</c:v>
                </c:pt>
                <c:pt idx="70">
                  <c:v>13.509310613793863</c:v>
                </c:pt>
                <c:pt idx="71">
                  <c:v>13.731333723710849</c:v>
                </c:pt>
                <c:pt idx="72">
                  <c:v>13.954188041327729</c:v>
                </c:pt>
                <c:pt idx="73">
                  <c:v>14.177873566644505</c:v>
                </c:pt>
                <c:pt idx="74">
                  <c:v>14.40239029966118</c:v>
                </c:pt>
                <c:pt idx="75">
                  <c:v>14.627738240377742</c:v>
                </c:pt>
                <c:pt idx="76">
                  <c:v>14.8539173887942</c:v>
                </c:pt>
                <c:pt idx="77">
                  <c:v>15.080927744910554</c:v>
                </c:pt>
                <c:pt idx="78">
                  <c:v>15.308769308726804</c:v>
                </c:pt>
                <c:pt idx="79">
                  <c:v>15.537442080242943</c:v>
                </c:pt>
                <c:pt idx="80">
                  <c:v>15.766946059458981</c:v>
                </c:pt>
                <c:pt idx="81">
                  <c:v>15.997281246374918</c:v>
                </c:pt>
                <c:pt idx="82">
                  <c:v>16.228447640990744</c:v>
                </c:pt>
                <c:pt idx="83">
                  <c:v>16.460445243306467</c:v>
                </c:pt>
                <c:pt idx="84">
                  <c:v>16.693274053322082</c:v>
                </c:pt>
                <c:pt idx="85">
                  <c:v>16.926934071037593</c:v>
                </c:pt>
                <c:pt idx="86">
                  <c:v>17.161425296452997</c:v>
                </c:pt>
                <c:pt idx="87">
                  <c:v>17.396747729568293</c:v>
                </c:pt>
                <c:pt idx="88">
                  <c:v>17.632901370383486</c:v>
                </c:pt>
                <c:pt idx="89">
                  <c:v>17.869886218898579</c:v>
                </c:pt>
                <c:pt idx="90">
                  <c:v>18.10770227511356</c:v>
                </c:pt>
                <c:pt idx="91">
                  <c:v>18.346349539028434</c:v>
                </c:pt>
                <c:pt idx="92">
                  <c:v>18.585828010643208</c:v>
                </c:pt>
                <c:pt idx="93">
                  <c:v>18.826137689957879</c:v>
                </c:pt>
                <c:pt idx="94">
                  <c:v>19.067278576972438</c:v>
                </c:pt>
                <c:pt idx="95">
                  <c:v>19.309250671686893</c:v>
                </c:pt>
                <c:pt idx="96">
                  <c:v>19.552053974101248</c:v>
                </c:pt>
                <c:pt idx="97">
                  <c:v>19.795688484215486</c:v>
                </c:pt>
                <c:pt idx="98">
                  <c:v>20.040154202029633</c:v>
                </c:pt>
                <c:pt idx="99">
                  <c:v>20.285451127543663</c:v>
                </c:pt>
                <c:pt idx="100">
                  <c:v>20.531579260757599</c:v>
                </c:pt>
                <c:pt idx="101">
                  <c:v>20.778538601671418</c:v>
                </c:pt>
                <c:pt idx="102">
                  <c:v>21.026329150285136</c:v>
                </c:pt>
                <c:pt idx="103">
                  <c:v>21.274950906598747</c:v>
                </c:pt>
                <c:pt idx="104">
                  <c:v>21.524403870612257</c:v>
                </c:pt>
                <c:pt idx="105">
                  <c:v>21.774688042325653</c:v>
                </c:pt>
                <c:pt idx="106">
                  <c:v>22.025803421738956</c:v>
                </c:pt>
                <c:pt idx="107">
                  <c:v>22.277750008852141</c:v>
                </c:pt>
                <c:pt idx="108">
                  <c:v>22.53052780366523</c:v>
                </c:pt>
                <c:pt idx="109">
                  <c:v>22.784136806178211</c:v>
                </c:pt>
                <c:pt idx="110">
                  <c:v>23.038577016391081</c:v>
                </c:pt>
                <c:pt idx="111">
                  <c:v>23.293848434303854</c:v>
                </c:pt>
                <c:pt idx="112">
                  <c:v>23.549951059916516</c:v>
                </c:pt>
                <c:pt idx="113">
                  <c:v>23.806884893229082</c:v>
                </c:pt>
                <c:pt idx="114">
                  <c:v>24.06464993424153</c:v>
                </c:pt>
                <c:pt idx="115">
                  <c:v>24.323246182953877</c:v>
                </c:pt>
                <c:pt idx="116">
                  <c:v>24.582673639366121</c:v>
                </c:pt>
                <c:pt idx="117">
                  <c:v>24.842932303478253</c:v>
                </c:pt>
                <c:pt idx="118">
                  <c:v>25.104022175290286</c:v>
                </c:pt>
                <c:pt idx="119">
                  <c:v>25.365943254802215</c:v>
                </c:pt>
                <c:pt idx="120">
                  <c:v>25.628695542014032</c:v>
                </c:pt>
                <c:pt idx="121">
                  <c:v>25.89227903692575</c:v>
                </c:pt>
                <c:pt idx="122">
                  <c:v>26.156693739537353</c:v>
                </c:pt>
                <c:pt idx="123">
                  <c:v>26.421939649848856</c:v>
                </c:pt>
                <c:pt idx="124">
                  <c:v>26.688016767860255</c:v>
                </c:pt>
                <c:pt idx="125">
                  <c:v>26.954925093571557</c:v>
                </c:pt>
                <c:pt idx="126">
                  <c:v>27.222664626982745</c:v>
                </c:pt>
                <c:pt idx="127">
                  <c:v>27.491235368093818</c:v>
                </c:pt>
                <c:pt idx="128">
                  <c:v>27.760637316904806</c:v>
                </c:pt>
                <c:pt idx="129">
                  <c:v>28.030870473415668</c:v>
                </c:pt>
                <c:pt idx="130">
                  <c:v>28.301934837626437</c:v>
                </c:pt>
                <c:pt idx="131">
                  <c:v>28.573830409537099</c:v>
                </c:pt>
                <c:pt idx="132">
                  <c:v>28.84655718914766</c:v>
                </c:pt>
                <c:pt idx="133">
                  <c:v>29.120115176458107</c:v>
                </c:pt>
                <c:pt idx="134">
                  <c:v>29.39450437146845</c:v>
                </c:pt>
                <c:pt idx="135">
                  <c:v>29.669724774178686</c:v>
                </c:pt>
                <c:pt idx="136">
                  <c:v>29.945776384588818</c:v>
                </c:pt>
                <c:pt idx="137">
                  <c:v>30.222659202698846</c:v>
                </c:pt>
                <c:pt idx="138">
                  <c:v>30.500373228508767</c:v>
                </c:pt>
                <c:pt idx="139">
                  <c:v>30.778918462018581</c:v>
                </c:pt>
                <c:pt idx="140">
                  <c:v>31.058294903228298</c:v>
                </c:pt>
                <c:pt idx="141">
                  <c:v>31.338502552137903</c:v>
                </c:pt>
                <c:pt idx="142">
                  <c:v>31.619541408747402</c:v>
                </c:pt>
                <c:pt idx="143">
                  <c:v>31.901411473056804</c:v>
                </c:pt>
                <c:pt idx="144">
                  <c:v>32.184112745066088</c:v>
                </c:pt>
                <c:pt idx="145">
                  <c:v>32.467645224775275</c:v>
                </c:pt>
                <c:pt idx="146">
                  <c:v>32.752008912184351</c:v>
                </c:pt>
                <c:pt idx="147">
                  <c:v>33.037203807293338</c:v>
                </c:pt>
                <c:pt idx="148">
                  <c:v>33.323229910102206</c:v>
                </c:pt>
                <c:pt idx="149">
                  <c:v>33.61008722061095</c:v>
                </c:pt>
                <c:pt idx="150">
                  <c:v>33.897775738819618</c:v>
                </c:pt>
              </c:numCache>
            </c:numRef>
          </c:yVal>
          <c:smooth val="1"/>
          <c:extLst>
            <c:ext xmlns:c16="http://schemas.microsoft.com/office/drawing/2014/chart" uri="{C3380CC4-5D6E-409C-BE32-E72D297353CC}">
              <c16:uniqueId val="{00000001-A4E5-4116-B7B6-D18D5BCA04D7}"/>
            </c:ext>
          </c:extLst>
        </c:ser>
        <c:ser>
          <c:idx val="2"/>
          <c:order val="2"/>
          <c:tx>
            <c:v>Diode</c:v>
          </c:tx>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Eff_vs_IOUT!$AN$7:$AN$157</c:f>
              <c:numCache>
                <c:formatCode>General</c:formatCode>
                <c:ptCount val="151"/>
                <c:pt idx="0">
                  <c:v>0.35594999999999999</c:v>
                </c:pt>
                <c:pt idx="1">
                  <c:v>0.46928333333333333</c:v>
                </c:pt>
                <c:pt idx="2">
                  <c:v>0.58261666666666667</c:v>
                </c:pt>
                <c:pt idx="3">
                  <c:v>0.69595000000000007</c:v>
                </c:pt>
                <c:pt idx="4">
                  <c:v>0.80928333333333335</c:v>
                </c:pt>
                <c:pt idx="5">
                  <c:v>0.92261666666666664</c:v>
                </c:pt>
                <c:pt idx="6">
                  <c:v>1.0359500000000001</c:v>
                </c:pt>
                <c:pt idx="7">
                  <c:v>1.1492833333333334</c:v>
                </c:pt>
                <c:pt idx="8">
                  <c:v>1.2626166666666667</c:v>
                </c:pt>
                <c:pt idx="9">
                  <c:v>1.37595</c:v>
                </c:pt>
                <c:pt idx="10">
                  <c:v>1.4892833333333333</c:v>
                </c:pt>
                <c:pt idx="11">
                  <c:v>1.6026166666666666</c:v>
                </c:pt>
                <c:pt idx="12">
                  <c:v>1.7159500000000001</c:v>
                </c:pt>
                <c:pt idx="13">
                  <c:v>1.8292833333333334</c:v>
                </c:pt>
                <c:pt idx="14">
                  <c:v>1.9426166666666667</c:v>
                </c:pt>
                <c:pt idx="15">
                  <c:v>2.0559500000000002</c:v>
                </c:pt>
                <c:pt idx="16">
                  <c:v>2.1692833333333335</c:v>
                </c:pt>
                <c:pt idx="17">
                  <c:v>2.2826166666666667</c:v>
                </c:pt>
                <c:pt idx="18">
                  <c:v>2.39595</c:v>
                </c:pt>
                <c:pt idx="19">
                  <c:v>2.5092833333333333</c:v>
                </c:pt>
                <c:pt idx="20">
                  <c:v>2.6226166666666666</c:v>
                </c:pt>
                <c:pt idx="21">
                  <c:v>2.7359499999999999</c:v>
                </c:pt>
                <c:pt idx="22">
                  <c:v>2.8492833333333332</c:v>
                </c:pt>
                <c:pt idx="23">
                  <c:v>2.9626166666666665</c:v>
                </c:pt>
                <c:pt idx="24">
                  <c:v>3.0759500000000002</c:v>
                </c:pt>
                <c:pt idx="25">
                  <c:v>3.1892833333333335</c:v>
                </c:pt>
                <c:pt idx="26">
                  <c:v>3.3026166666666668</c:v>
                </c:pt>
                <c:pt idx="27">
                  <c:v>3.41595</c:v>
                </c:pt>
                <c:pt idx="28">
                  <c:v>3.5292833333333333</c:v>
                </c:pt>
                <c:pt idx="29">
                  <c:v>3.6426166666666666</c:v>
                </c:pt>
                <c:pt idx="30">
                  <c:v>3.7559499999999999</c:v>
                </c:pt>
                <c:pt idx="31">
                  <c:v>3.8692833333333327</c:v>
                </c:pt>
                <c:pt idx="32">
                  <c:v>3.9826166666666665</c:v>
                </c:pt>
                <c:pt idx="33">
                  <c:v>4.0959500000000002</c:v>
                </c:pt>
                <c:pt idx="34">
                  <c:v>4.2092833333333335</c:v>
                </c:pt>
                <c:pt idx="35">
                  <c:v>4.3226166666666668</c:v>
                </c:pt>
                <c:pt idx="36">
                  <c:v>4.4359500000000001</c:v>
                </c:pt>
                <c:pt idx="37">
                  <c:v>4.5492833333333333</c:v>
                </c:pt>
                <c:pt idx="38">
                  <c:v>4.6626166666666666</c:v>
                </c:pt>
                <c:pt idx="39">
                  <c:v>4.7759499999999999</c:v>
                </c:pt>
                <c:pt idx="40">
                  <c:v>4.8892833333333332</c:v>
                </c:pt>
                <c:pt idx="41">
                  <c:v>5.0026166666666665</c:v>
                </c:pt>
                <c:pt idx="42">
                  <c:v>5.1159499999999998</c:v>
                </c:pt>
                <c:pt idx="43">
                  <c:v>5.2292833333333331</c:v>
                </c:pt>
                <c:pt idx="44">
                  <c:v>5.3426166666666663</c:v>
                </c:pt>
                <c:pt idx="45">
                  <c:v>5.4559499999999996</c:v>
                </c:pt>
                <c:pt idx="46">
                  <c:v>5.5692833333333329</c:v>
                </c:pt>
                <c:pt idx="47">
                  <c:v>5.6826166666666662</c:v>
                </c:pt>
                <c:pt idx="48">
                  <c:v>5.7959500000000004</c:v>
                </c:pt>
                <c:pt idx="49">
                  <c:v>5.9092833333333328</c:v>
                </c:pt>
                <c:pt idx="50">
                  <c:v>6.022616666666667</c:v>
                </c:pt>
                <c:pt idx="51">
                  <c:v>6.1359499999999993</c:v>
                </c:pt>
                <c:pt idx="52">
                  <c:v>6.2492833333333335</c:v>
                </c:pt>
                <c:pt idx="53">
                  <c:v>6.3626166666666659</c:v>
                </c:pt>
                <c:pt idx="54">
                  <c:v>6.4759500000000001</c:v>
                </c:pt>
                <c:pt idx="55">
                  <c:v>6.5892833333333325</c:v>
                </c:pt>
                <c:pt idx="56">
                  <c:v>6.7026166666666667</c:v>
                </c:pt>
                <c:pt idx="57">
                  <c:v>6.81595</c:v>
                </c:pt>
                <c:pt idx="58">
                  <c:v>6.9292833333333332</c:v>
                </c:pt>
                <c:pt idx="59">
                  <c:v>7.0426166666666665</c:v>
                </c:pt>
                <c:pt idx="60">
                  <c:v>7.1559499999999998</c:v>
                </c:pt>
                <c:pt idx="61">
                  <c:v>7.2692833333333331</c:v>
                </c:pt>
                <c:pt idx="62">
                  <c:v>7.3826166666666655</c:v>
                </c:pt>
                <c:pt idx="63">
                  <c:v>7.4959499999999997</c:v>
                </c:pt>
                <c:pt idx="64">
                  <c:v>7.609283333333333</c:v>
                </c:pt>
                <c:pt idx="65">
                  <c:v>7.7226166666666662</c:v>
                </c:pt>
                <c:pt idx="66">
                  <c:v>7.8359500000000004</c:v>
                </c:pt>
                <c:pt idx="67">
                  <c:v>7.9492833333333337</c:v>
                </c:pt>
                <c:pt idx="68">
                  <c:v>8.062616666666667</c:v>
                </c:pt>
                <c:pt idx="69">
                  <c:v>8.1759500000000003</c:v>
                </c:pt>
                <c:pt idx="70">
                  <c:v>8.2892833333333336</c:v>
                </c:pt>
                <c:pt idx="71">
                  <c:v>8.4026166666666668</c:v>
                </c:pt>
                <c:pt idx="72">
                  <c:v>8.5159500000000001</c:v>
                </c:pt>
                <c:pt idx="73">
                  <c:v>8.6292833333333316</c:v>
                </c:pt>
                <c:pt idx="74">
                  <c:v>8.7426166666666667</c:v>
                </c:pt>
                <c:pt idx="75">
                  <c:v>8.85595</c:v>
                </c:pt>
                <c:pt idx="76">
                  <c:v>8.9692833333333333</c:v>
                </c:pt>
                <c:pt idx="77">
                  <c:v>9.0826166666666648</c:v>
                </c:pt>
                <c:pt idx="78">
                  <c:v>9.1959499999999998</c:v>
                </c:pt>
                <c:pt idx="79">
                  <c:v>9.3092833333333331</c:v>
                </c:pt>
                <c:pt idx="80">
                  <c:v>9.4226166666666664</c:v>
                </c:pt>
                <c:pt idx="81">
                  <c:v>9.5359499999999997</c:v>
                </c:pt>
                <c:pt idx="82">
                  <c:v>9.649283333333333</c:v>
                </c:pt>
                <c:pt idx="83">
                  <c:v>9.7626166666666663</c:v>
                </c:pt>
                <c:pt idx="84">
                  <c:v>9.8759499999999996</c:v>
                </c:pt>
                <c:pt idx="85">
                  <c:v>9.9892833333333328</c:v>
                </c:pt>
                <c:pt idx="86">
                  <c:v>10.102616666666666</c:v>
                </c:pt>
                <c:pt idx="87">
                  <c:v>10.215949999999999</c:v>
                </c:pt>
                <c:pt idx="88">
                  <c:v>10.329283333333333</c:v>
                </c:pt>
                <c:pt idx="89">
                  <c:v>10.442616666666666</c:v>
                </c:pt>
                <c:pt idx="90">
                  <c:v>10.555949999999999</c:v>
                </c:pt>
                <c:pt idx="91">
                  <c:v>10.669283333333333</c:v>
                </c:pt>
                <c:pt idx="92">
                  <c:v>10.782616666666666</c:v>
                </c:pt>
                <c:pt idx="93">
                  <c:v>10.895949999999999</c:v>
                </c:pt>
                <c:pt idx="94">
                  <c:v>11.009283333333332</c:v>
                </c:pt>
                <c:pt idx="95">
                  <c:v>11.122616666666666</c:v>
                </c:pt>
                <c:pt idx="96">
                  <c:v>11.235950000000001</c:v>
                </c:pt>
                <c:pt idx="97">
                  <c:v>11.349283333333334</c:v>
                </c:pt>
                <c:pt idx="98">
                  <c:v>11.462616666666666</c:v>
                </c:pt>
                <c:pt idx="99">
                  <c:v>11.575949999999999</c:v>
                </c:pt>
                <c:pt idx="100">
                  <c:v>11.689283333333334</c:v>
                </c:pt>
                <c:pt idx="101">
                  <c:v>11.802616666666667</c:v>
                </c:pt>
                <c:pt idx="102">
                  <c:v>11.915949999999999</c:v>
                </c:pt>
                <c:pt idx="103">
                  <c:v>12.029283333333332</c:v>
                </c:pt>
                <c:pt idx="104">
                  <c:v>12.142616666666667</c:v>
                </c:pt>
                <c:pt idx="105">
                  <c:v>12.25595</c:v>
                </c:pt>
                <c:pt idx="106">
                  <c:v>12.369283333333332</c:v>
                </c:pt>
                <c:pt idx="107">
                  <c:v>12.482616666666665</c:v>
                </c:pt>
                <c:pt idx="108">
                  <c:v>12.59595</c:v>
                </c:pt>
                <c:pt idx="109">
                  <c:v>12.709283333333333</c:v>
                </c:pt>
                <c:pt idx="110">
                  <c:v>12.822616666666665</c:v>
                </c:pt>
                <c:pt idx="111">
                  <c:v>12.935949999999998</c:v>
                </c:pt>
                <c:pt idx="112">
                  <c:v>13.049283333333333</c:v>
                </c:pt>
                <c:pt idx="113">
                  <c:v>13.162616666666667</c:v>
                </c:pt>
                <c:pt idx="114">
                  <c:v>13.27595</c:v>
                </c:pt>
                <c:pt idx="115">
                  <c:v>13.389283333333333</c:v>
                </c:pt>
                <c:pt idx="116">
                  <c:v>13.502616666666666</c:v>
                </c:pt>
                <c:pt idx="117">
                  <c:v>13.61595</c:v>
                </c:pt>
                <c:pt idx="118">
                  <c:v>13.729283333333333</c:v>
                </c:pt>
                <c:pt idx="119">
                  <c:v>13.842616666666666</c:v>
                </c:pt>
                <c:pt idx="120">
                  <c:v>13.95595</c:v>
                </c:pt>
                <c:pt idx="121">
                  <c:v>14.069283333333333</c:v>
                </c:pt>
                <c:pt idx="122">
                  <c:v>14.182616666666666</c:v>
                </c:pt>
                <c:pt idx="123">
                  <c:v>14.295949999999998</c:v>
                </c:pt>
                <c:pt idx="124">
                  <c:v>14.409283333333331</c:v>
                </c:pt>
                <c:pt idx="125">
                  <c:v>14.522616666666668</c:v>
                </c:pt>
                <c:pt idx="126">
                  <c:v>14.635949999999999</c:v>
                </c:pt>
                <c:pt idx="127">
                  <c:v>14.749283333333333</c:v>
                </c:pt>
                <c:pt idx="128">
                  <c:v>14.862616666666666</c:v>
                </c:pt>
                <c:pt idx="129">
                  <c:v>14.975949999999999</c:v>
                </c:pt>
                <c:pt idx="130">
                  <c:v>15.089283333333332</c:v>
                </c:pt>
                <c:pt idx="131">
                  <c:v>15.202616666666664</c:v>
                </c:pt>
                <c:pt idx="132">
                  <c:v>15.315950000000001</c:v>
                </c:pt>
                <c:pt idx="133">
                  <c:v>15.429283333333334</c:v>
                </c:pt>
                <c:pt idx="134">
                  <c:v>15.542616666666667</c:v>
                </c:pt>
                <c:pt idx="135">
                  <c:v>15.655949999999999</c:v>
                </c:pt>
                <c:pt idx="136">
                  <c:v>15.769283333333332</c:v>
                </c:pt>
                <c:pt idx="137">
                  <c:v>15.882616666666665</c:v>
                </c:pt>
                <c:pt idx="138">
                  <c:v>15.995949999999999</c:v>
                </c:pt>
                <c:pt idx="139">
                  <c:v>16.10928333333333</c:v>
                </c:pt>
                <c:pt idx="140">
                  <c:v>16.222616666666667</c:v>
                </c:pt>
                <c:pt idx="141">
                  <c:v>16.33595</c:v>
                </c:pt>
                <c:pt idx="142">
                  <c:v>16.449283333333334</c:v>
                </c:pt>
                <c:pt idx="143">
                  <c:v>16.562616666666667</c:v>
                </c:pt>
                <c:pt idx="144">
                  <c:v>16.67595</c:v>
                </c:pt>
                <c:pt idx="145">
                  <c:v>16.789283333333334</c:v>
                </c:pt>
                <c:pt idx="146">
                  <c:v>16.902616666666663</c:v>
                </c:pt>
                <c:pt idx="147">
                  <c:v>17.01595</c:v>
                </c:pt>
                <c:pt idx="148">
                  <c:v>17.129283333333333</c:v>
                </c:pt>
                <c:pt idx="149">
                  <c:v>17.242616666666667</c:v>
                </c:pt>
                <c:pt idx="150">
                  <c:v>17.35595</c:v>
                </c:pt>
              </c:numCache>
            </c:numRef>
          </c:yVal>
          <c:smooth val="1"/>
          <c:extLst>
            <c:ext xmlns:c16="http://schemas.microsoft.com/office/drawing/2014/chart" uri="{C3380CC4-5D6E-409C-BE32-E72D297353CC}">
              <c16:uniqueId val="{00000002-A4E5-4116-B7B6-D18D5BCA04D7}"/>
            </c:ext>
          </c:extLst>
        </c:ser>
        <c:ser>
          <c:idx val="3"/>
          <c:order val="3"/>
          <c:tx>
            <c:v>RCS</c:v>
          </c:tx>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Eff_vs_IOUT!$AO$7:$AO$157</c:f>
              <c:numCache>
                <c:formatCode>General</c:formatCode>
                <c:ptCount val="151"/>
                <c:pt idx="0">
                  <c:v>0</c:v>
                </c:pt>
                <c:pt idx="1">
                  <c:v>5.1507025999622199E-4</c:v>
                </c:pt>
                <c:pt idx="2">
                  <c:v>1.4568386945233865E-3</c:v>
                </c:pt>
                <c:pt idx="3">
                  <c:v>2.6763835793435042E-3</c:v>
                </c:pt>
                <c:pt idx="4">
                  <c:v>4.1205620799697759E-3</c:v>
                </c:pt>
                <c:pt idx="5">
                  <c:v>5.758660572700215E-3</c:v>
                </c:pt>
                <c:pt idx="6">
                  <c:v>7.5699559120404637E-3</c:v>
                </c:pt>
                <c:pt idx="7">
                  <c:v>9.5392347097276887E-3</c:v>
                </c:pt>
                <c:pt idx="8">
                  <c:v>1.1654709556187094E-2</c:v>
                </c:pt>
                <c:pt idx="9">
                  <c:v>1.3906897019897998E-2</c:v>
                </c:pt>
                <c:pt idx="10">
                  <c:v>1.6287951766031719E-2</c:v>
                </c:pt>
                <c:pt idx="11">
                  <c:v>1.8791242723860985E-2</c:v>
                </c:pt>
                <c:pt idx="12">
                  <c:v>2.1411068634748034E-2</c:v>
                </c:pt>
                <c:pt idx="13">
                  <c:v>2.4142459027478316E-2</c:v>
                </c:pt>
                <c:pt idx="14">
                  <c:v>2.698103020231413E-2</c:v>
                </c:pt>
                <c:pt idx="15">
                  <c:v>2.9922878086381381E-2</c:v>
                </c:pt>
                <c:pt idx="16">
                  <c:v>3.2964496639758208E-2</c:v>
                </c:pt>
                <c:pt idx="17">
                  <c:v>3.6102714471839159E-2</c:v>
                </c:pt>
                <c:pt idx="18">
                  <c:v>4.6440342892224255E-2</c:v>
                </c:pt>
                <c:pt idx="19">
                  <c:v>5.0693650377854921E-2</c:v>
                </c:pt>
                <c:pt idx="20">
                  <c:v>5.5176866376222461E-2</c:v>
                </c:pt>
                <c:pt idx="21">
                  <c:v>5.9889990887326772E-2</c:v>
                </c:pt>
                <c:pt idx="22">
                  <c:v>6.4833023911167867E-2</c:v>
                </c:pt>
                <c:pt idx="23">
                  <c:v>7.0005965447745747E-2</c:v>
                </c:pt>
                <c:pt idx="24">
                  <c:v>7.540881549706048E-2</c:v>
                </c:pt>
                <c:pt idx="25">
                  <c:v>8.1041574059111984E-2</c:v>
                </c:pt>
                <c:pt idx="26">
                  <c:v>8.6904241133900231E-2</c:v>
                </c:pt>
                <c:pt idx="27">
                  <c:v>9.2996816721425277E-2</c:v>
                </c:pt>
                <c:pt idx="28">
                  <c:v>9.9319300821687218E-2</c:v>
                </c:pt>
                <c:pt idx="29">
                  <c:v>0.1058716934346859</c:v>
                </c:pt>
                <c:pt idx="30">
                  <c:v>0.11265399456042138</c:v>
                </c:pt>
                <c:pt idx="31">
                  <c:v>0.11966620419889357</c:v>
                </c:pt>
                <c:pt idx="32">
                  <c:v>0.12690832235010274</c:v>
                </c:pt>
                <c:pt idx="33">
                  <c:v>0.13438034901404858</c:v>
                </c:pt>
                <c:pt idx="34">
                  <c:v>0.14208228419073118</c:v>
                </c:pt>
                <c:pt idx="35">
                  <c:v>0.15001412788015064</c:v>
                </c:pt>
                <c:pt idx="36">
                  <c:v>0.15817588008230696</c:v>
                </c:pt>
                <c:pt idx="37">
                  <c:v>0.16656754079719993</c:v>
                </c:pt>
                <c:pt idx="38">
                  <c:v>0.17518911002482976</c:v>
                </c:pt>
                <c:pt idx="39">
                  <c:v>0.18404058776519647</c:v>
                </c:pt>
                <c:pt idx="40">
                  <c:v>0.19312197401829972</c:v>
                </c:pt>
                <c:pt idx="41">
                  <c:v>0.20243326878414006</c:v>
                </c:pt>
                <c:pt idx="42">
                  <c:v>0.21197447206271708</c:v>
                </c:pt>
                <c:pt idx="43">
                  <c:v>0.22174558385403087</c:v>
                </c:pt>
                <c:pt idx="44">
                  <c:v>0.23174660415808152</c:v>
                </c:pt>
                <c:pt idx="45">
                  <c:v>0.24197753297486885</c:v>
                </c:pt>
                <c:pt idx="46">
                  <c:v>0.25243837030439298</c:v>
                </c:pt>
                <c:pt idx="47">
                  <c:v>0.26312911614665419</c:v>
                </c:pt>
                <c:pt idx="48">
                  <c:v>0.27404977050165197</c:v>
                </c:pt>
                <c:pt idx="49">
                  <c:v>0.28520033336938638</c:v>
                </c:pt>
                <c:pt idx="50">
                  <c:v>0.29658080474985776</c:v>
                </c:pt>
                <c:pt idx="51">
                  <c:v>0.30819118464306589</c:v>
                </c:pt>
                <c:pt idx="52">
                  <c:v>0.32003147304901081</c:v>
                </c:pt>
                <c:pt idx="53">
                  <c:v>0.33210166996769275</c:v>
                </c:pt>
                <c:pt idx="54">
                  <c:v>0.34440177539911127</c:v>
                </c:pt>
                <c:pt idx="55">
                  <c:v>0.35693178934326664</c:v>
                </c:pt>
                <c:pt idx="56">
                  <c:v>0.36969171180015886</c:v>
                </c:pt>
                <c:pt idx="57">
                  <c:v>0.38268154276978772</c:v>
                </c:pt>
                <c:pt idx="58">
                  <c:v>0.39590128225215349</c:v>
                </c:pt>
                <c:pt idx="59">
                  <c:v>0.40935093024725627</c:v>
                </c:pt>
                <c:pt idx="60">
                  <c:v>0.4230304867550953</c:v>
                </c:pt>
                <c:pt idx="61">
                  <c:v>0.43693995177567163</c:v>
                </c:pt>
                <c:pt idx="62">
                  <c:v>0.45107932530898409</c:v>
                </c:pt>
                <c:pt idx="63">
                  <c:v>0.46544860735503407</c:v>
                </c:pt>
                <c:pt idx="64">
                  <c:v>0.48004779791382057</c:v>
                </c:pt>
                <c:pt idx="65">
                  <c:v>0.49487689698534371</c:v>
                </c:pt>
                <c:pt idx="66">
                  <c:v>0.50993590456960436</c:v>
                </c:pt>
                <c:pt idx="67">
                  <c:v>0.52522482066660103</c:v>
                </c:pt>
                <c:pt idx="68">
                  <c:v>0.54074364527633445</c:v>
                </c:pt>
                <c:pt idx="69">
                  <c:v>0.55649237839880505</c:v>
                </c:pt>
                <c:pt idx="70">
                  <c:v>0.57247102003401262</c:v>
                </c:pt>
                <c:pt idx="71">
                  <c:v>0.58867957018195638</c:v>
                </c:pt>
                <c:pt idx="72">
                  <c:v>0.60511802884263732</c:v>
                </c:pt>
                <c:pt idx="73">
                  <c:v>0.62178639601605512</c:v>
                </c:pt>
                <c:pt idx="74">
                  <c:v>0.63868467170220966</c:v>
                </c:pt>
                <c:pt idx="75">
                  <c:v>0.65581285590110083</c:v>
                </c:pt>
                <c:pt idx="76">
                  <c:v>0.67317094861272875</c:v>
                </c:pt>
                <c:pt idx="77">
                  <c:v>0.69075894983709374</c:v>
                </c:pt>
                <c:pt idx="78">
                  <c:v>0.70857685957419547</c:v>
                </c:pt>
                <c:pt idx="79">
                  <c:v>0.72662467782403373</c:v>
                </c:pt>
                <c:pt idx="80">
                  <c:v>0.74490240458660906</c:v>
                </c:pt>
                <c:pt idx="81">
                  <c:v>0.76341003986192124</c:v>
                </c:pt>
                <c:pt idx="82">
                  <c:v>0.78214758364996995</c:v>
                </c:pt>
                <c:pt idx="83">
                  <c:v>0.80111503595075573</c:v>
                </c:pt>
                <c:pt idx="84">
                  <c:v>0.82031239676427803</c:v>
                </c:pt>
                <c:pt idx="85">
                  <c:v>0.8397396660905373</c:v>
                </c:pt>
                <c:pt idx="86">
                  <c:v>0.85939684392953353</c:v>
                </c:pt>
                <c:pt idx="87">
                  <c:v>0.87928393028126606</c:v>
                </c:pt>
                <c:pt idx="88">
                  <c:v>0.89940092514573555</c:v>
                </c:pt>
                <c:pt idx="89">
                  <c:v>0.91974782852294257</c:v>
                </c:pt>
                <c:pt idx="90">
                  <c:v>0.94032464041288533</c:v>
                </c:pt>
                <c:pt idx="91">
                  <c:v>0.96113136081556472</c:v>
                </c:pt>
                <c:pt idx="92">
                  <c:v>0.98216798973098196</c:v>
                </c:pt>
                <c:pt idx="93">
                  <c:v>1.0034345271591356</c:v>
                </c:pt>
                <c:pt idx="94">
                  <c:v>1.0249309731000256</c:v>
                </c:pt>
                <c:pt idx="95">
                  <c:v>1.0466573275536533</c:v>
                </c:pt>
                <c:pt idx="96">
                  <c:v>1.0686135905200171</c:v>
                </c:pt>
                <c:pt idx="97">
                  <c:v>1.0907997619991172</c:v>
                </c:pt>
                <c:pt idx="98">
                  <c:v>1.1132158419909557</c:v>
                </c:pt>
                <c:pt idx="99">
                  <c:v>1.1358618304955292</c:v>
                </c:pt>
                <c:pt idx="100">
                  <c:v>1.1587377275128414</c:v>
                </c:pt>
                <c:pt idx="101">
                  <c:v>1.1818435330428889</c:v>
                </c:pt>
                <c:pt idx="102">
                  <c:v>1.2051792470856735</c:v>
                </c:pt>
                <c:pt idx="103">
                  <c:v>1.2287448696411953</c:v>
                </c:pt>
                <c:pt idx="104">
                  <c:v>1.2525404007094534</c:v>
                </c:pt>
                <c:pt idx="105">
                  <c:v>1.2765658402904485</c:v>
                </c:pt>
                <c:pt idx="106">
                  <c:v>1.3008211883841807</c:v>
                </c:pt>
                <c:pt idx="107">
                  <c:v>1.3253064449906489</c:v>
                </c:pt>
                <c:pt idx="108">
                  <c:v>1.350021610109855</c:v>
                </c:pt>
                <c:pt idx="109">
                  <c:v>1.3749666837417975</c:v>
                </c:pt>
                <c:pt idx="110">
                  <c:v>1.4001416658864758</c:v>
                </c:pt>
                <c:pt idx="111">
                  <c:v>1.4255465565438923</c:v>
                </c:pt>
                <c:pt idx="112">
                  <c:v>1.4511813557140447</c:v>
                </c:pt>
                <c:pt idx="113">
                  <c:v>1.4770460633969347</c:v>
                </c:pt>
                <c:pt idx="114">
                  <c:v>1.5031406795925608</c:v>
                </c:pt>
                <c:pt idx="115">
                  <c:v>1.5294652043009238</c:v>
                </c:pt>
                <c:pt idx="116">
                  <c:v>1.5560196375220241</c:v>
                </c:pt>
                <c:pt idx="117">
                  <c:v>1.5828039792558601</c:v>
                </c:pt>
                <c:pt idx="118">
                  <c:v>1.6098182295024335</c:v>
                </c:pt>
                <c:pt idx="119">
                  <c:v>1.6370623882617448</c:v>
                </c:pt>
                <c:pt idx="120">
                  <c:v>1.6645364555337909</c:v>
                </c:pt>
                <c:pt idx="121">
                  <c:v>1.6922404313185753</c:v>
                </c:pt>
                <c:pt idx="122">
                  <c:v>1.7201743156160954</c:v>
                </c:pt>
                <c:pt idx="123">
                  <c:v>1.7483381084263525</c:v>
                </c:pt>
                <c:pt idx="124">
                  <c:v>1.7767318097493465</c:v>
                </c:pt>
                <c:pt idx="125">
                  <c:v>1.8053554195850787</c:v>
                </c:pt>
                <c:pt idx="126">
                  <c:v>1.8342089379335469</c:v>
                </c:pt>
                <c:pt idx="127">
                  <c:v>1.8632923647947504</c:v>
                </c:pt>
                <c:pt idx="128">
                  <c:v>1.8926057001686929</c:v>
                </c:pt>
                <c:pt idx="129">
                  <c:v>1.9221489440553703</c:v>
                </c:pt>
                <c:pt idx="130">
                  <c:v>1.9519220964547854</c:v>
                </c:pt>
                <c:pt idx="131">
                  <c:v>1.9819251573669374</c:v>
                </c:pt>
                <c:pt idx="132">
                  <c:v>2.0121581267918272</c:v>
                </c:pt>
                <c:pt idx="133">
                  <c:v>2.0426210047294515</c:v>
                </c:pt>
                <c:pt idx="134">
                  <c:v>2.0733137911798138</c:v>
                </c:pt>
                <c:pt idx="135">
                  <c:v>2.1042364861429133</c:v>
                </c:pt>
                <c:pt idx="136">
                  <c:v>2.1353890896187484</c:v>
                </c:pt>
                <c:pt idx="137">
                  <c:v>2.1667716016073211</c:v>
                </c:pt>
                <c:pt idx="138">
                  <c:v>2.1983840221086304</c:v>
                </c:pt>
                <c:pt idx="139">
                  <c:v>2.2302263511226759</c:v>
                </c:pt>
                <c:pt idx="140">
                  <c:v>2.2622985886494602</c:v>
                </c:pt>
                <c:pt idx="141">
                  <c:v>2.2946007346889794</c:v>
                </c:pt>
                <c:pt idx="142">
                  <c:v>2.3271327892412352</c:v>
                </c:pt>
                <c:pt idx="143">
                  <c:v>2.3598947523062295</c:v>
                </c:pt>
                <c:pt idx="144">
                  <c:v>2.3928866238839599</c:v>
                </c:pt>
                <c:pt idx="145">
                  <c:v>2.4261084039744261</c:v>
                </c:pt>
                <c:pt idx="146">
                  <c:v>2.4595600925776302</c:v>
                </c:pt>
                <c:pt idx="147">
                  <c:v>2.4932416896935714</c:v>
                </c:pt>
                <c:pt idx="148">
                  <c:v>2.5271531953222488</c:v>
                </c:pt>
                <c:pt idx="149">
                  <c:v>2.5612946094636619</c:v>
                </c:pt>
                <c:pt idx="150">
                  <c:v>2.5956659321178135</c:v>
                </c:pt>
              </c:numCache>
            </c:numRef>
          </c:yVal>
          <c:smooth val="1"/>
          <c:extLst>
            <c:ext xmlns:c16="http://schemas.microsoft.com/office/drawing/2014/chart" uri="{C3380CC4-5D6E-409C-BE32-E72D297353CC}">
              <c16:uniqueId val="{00000003-A4E5-4116-B7B6-D18D5BCA04D7}"/>
            </c:ext>
          </c:extLst>
        </c:ser>
        <c:dLbls>
          <c:showLegendKey val="0"/>
          <c:showVal val="0"/>
          <c:showCatName val="0"/>
          <c:showSerName val="0"/>
          <c:showPercent val="0"/>
          <c:showBubbleSize val="0"/>
        </c:dLbls>
        <c:axId val="145058432"/>
        <c:axId val="145056896"/>
      </c:scatterChart>
      <c:valAx>
        <c:axId val="145036800"/>
        <c:scaling>
          <c:orientation val="minMax"/>
          <c:max val="6"/>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41.757527073143883</c:v>
                </c:pt>
                <c:pt idx="1">
                  <c:v>41.756642140856826</c:v>
                </c:pt>
                <c:pt idx="2">
                  <c:v>41.755715696254384</c:v>
                </c:pt>
                <c:pt idx="3">
                  <c:v>41.75474580147619</c:v>
                </c:pt>
                <c:pt idx="4">
                  <c:v>41.753730429109986</c:v>
                </c:pt>
                <c:pt idx="5">
                  <c:v>41.752667458141133</c:v>
                </c:pt>
                <c:pt idx="6">
                  <c:v>41.751554669726005</c:v>
                </c:pt>
                <c:pt idx="7">
                  <c:v>41.750389742785231</c:v>
                </c:pt>
                <c:pt idx="8">
                  <c:v>41.749170249407513</c:v>
                </c:pt>
                <c:pt idx="9">
                  <c:v>41.747893650057797</c:v>
                </c:pt>
                <c:pt idx="10">
                  <c:v>41.746557288583759</c:v>
                </c:pt>
                <c:pt idx="11">
                  <c:v>41.74515838701015</c:v>
                </c:pt>
                <c:pt idx="12">
                  <c:v>41.743694040117333</c:v>
                </c:pt>
                <c:pt idx="13">
                  <c:v>41.742161209792584</c:v>
                </c:pt>
                <c:pt idx="14">
                  <c:v>41.740556719149225</c:v>
                </c:pt>
                <c:pt idx="15">
                  <c:v>41.738877246403646</c:v>
                </c:pt>
                <c:pt idx="16">
                  <c:v>41.737119318503488</c:v>
                </c:pt>
                <c:pt idx="17">
                  <c:v>41.735279304497936</c:v>
                </c:pt>
                <c:pt idx="18">
                  <c:v>41.733353408642444</c:v>
                </c:pt>
                <c:pt idx="19">
                  <c:v>41.731337663229446</c:v>
                </c:pt>
                <c:pt idx="20">
                  <c:v>41.729227921137024</c:v>
                </c:pt>
                <c:pt idx="21">
                  <c:v>41.727019848086655</c:v>
                </c:pt>
                <c:pt idx="22">
                  <c:v>41.724708914603667</c:v>
                </c:pt>
                <c:pt idx="23">
                  <c:v>41.722290387669275</c:v>
                </c:pt>
                <c:pt idx="24">
                  <c:v>41.719759322060035</c:v>
                </c:pt>
                <c:pt idx="25">
                  <c:v>41.717110551363845</c:v>
                </c:pt>
                <c:pt idx="26">
                  <c:v>41.71433867866719</c:v>
                </c:pt>
                <c:pt idx="27">
                  <c:v>41.71143806690516</c:v>
                </c:pt>
                <c:pt idx="28">
                  <c:v>41.708402828868564</c:v>
                </c:pt>
                <c:pt idx="29">
                  <c:v>41.705226816861185</c:v>
                </c:pt>
                <c:pt idx="30">
                  <c:v>41.701903612002049</c:v>
                </c:pt>
                <c:pt idx="31">
                  <c:v>41.698426513166879</c:v>
                </c:pt>
                <c:pt idx="32">
                  <c:v>41.694788525565301</c:v>
                </c:pt>
                <c:pt idx="33">
                  <c:v>41.690982348949859</c:v>
                </c:pt>
                <c:pt idx="34">
                  <c:v>41.687000365454701</c:v>
                </c:pt>
                <c:pt idx="35">
                  <c:v>41.682834627061624</c:v>
                </c:pt>
                <c:pt idx="36">
                  <c:v>41.678476842695162</c:v>
                </c:pt>
                <c:pt idx="37">
                  <c:v>41.673918364945735</c:v>
                </c:pt>
                <c:pt idx="38">
                  <c:v>41.669150176425347</c:v>
                </c:pt>
                <c:pt idx="39">
                  <c:v>41.66416287576007</c:v>
                </c:pt>
                <c:pt idx="40">
                  <c:v>41.658946663225052</c:v>
                </c:pt>
                <c:pt idx="41">
                  <c:v>41.653491326031414</c:v>
                </c:pt>
                <c:pt idx="42">
                  <c:v>41.64778622327507</c:v>
                </c:pt>
                <c:pt idx="43">
                  <c:v>41.641820270562697</c:v>
                </c:pt>
                <c:pt idx="44">
                  <c:v>41.635581924328697</c:v>
                </c:pt>
                <c:pt idx="45">
                  <c:v>41.629059165864689</c:v>
                </c:pt>
                <c:pt idx="46">
                  <c:v>41.622239485082666</c:v>
                </c:pt>
                <c:pt idx="47">
                  <c:v>41.615109864038928</c:v>
                </c:pt>
                <c:pt idx="48">
                  <c:v>41.607656760248432</c:v>
                </c:pt>
                <c:pt idx="49">
                  <c:v>41.599866089825284</c:v>
                </c:pt>
                <c:pt idx="50">
                  <c:v>41.591723210485711</c:v>
                </c:pt>
                <c:pt idx="51">
                  <c:v>41.583212904459813</c:v>
                </c:pt>
                <c:pt idx="52">
                  <c:v>41.574319361359784</c:v>
                </c:pt>
                <c:pt idx="53">
                  <c:v>41.565026161059528</c:v>
                </c:pt>
                <c:pt idx="54">
                  <c:v>41.555316256645028</c:v>
                </c:pt>
                <c:pt idx="55">
                  <c:v>41.545171957504117</c:v>
                </c:pt>
                <c:pt idx="56">
                  <c:v>41.534574912625587</c:v>
                </c:pt>
                <c:pt idx="57">
                  <c:v>41.523506094191156</c:v>
                </c:pt>
                <c:pt idx="58">
                  <c:v>41.511945781544497</c:v>
                </c:pt>
                <c:pt idx="59">
                  <c:v>41.499873545633307</c:v>
                </c:pt>
                <c:pt idx="60">
                  <c:v>41.487268234026409</c:v>
                </c:pt>
                <c:pt idx="61">
                  <c:v>41.474107956616528</c:v>
                </c:pt>
                <c:pt idx="62">
                  <c:v>41.460370072126807</c:v>
                </c:pt>
                <c:pt idx="63">
                  <c:v>41.446031175548448</c:v>
                </c:pt>
                <c:pt idx="64">
                  <c:v>41.431067086643395</c:v>
                </c:pt>
                <c:pt idx="65">
                  <c:v>41.415452839658215</c:v>
                </c:pt>
                <c:pt idx="66">
                  <c:v>41.39916267439844</c:v>
                </c:pt>
                <c:pt idx="67">
                  <c:v>41.382170028825762</c:v>
                </c:pt>
                <c:pt idx="68">
                  <c:v>41.364447533345661</c:v>
                </c:pt>
                <c:pt idx="69">
                  <c:v>41.345967006961587</c:v>
                </c:pt>
                <c:pt idx="70">
                  <c:v>41.326699455478206</c:v>
                </c:pt>
                <c:pt idx="71">
                  <c:v>41.3066150719444</c:v>
                </c:pt>
                <c:pt idx="72">
                  <c:v>41.285683239530819</c:v>
                </c:pt>
                <c:pt idx="73">
                  <c:v>41.263872537041557</c:v>
                </c:pt>
                <c:pt idx="74">
                  <c:v>41.241150747265259</c:v>
                </c:pt>
                <c:pt idx="75">
                  <c:v>41.2174848683701</c:v>
                </c:pt>
                <c:pt idx="76">
                  <c:v>41.192841128550398</c:v>
                </c:pt>
                <c:pt idx="77">
                  <c:v>41.167185004131383</c:v>
                </c:pt>
                <c:pt idx="78">
                  <c:v>41.140481241334037</c:v>
                </c:pt>
                <c:pt idx="79">
                  <c:v>41.11269388189897</c:v>
                </c:pt>
                <c:pt idx="80">
                  <c:v>41.083786292760522</c:v>
                </c:pt>
                <c:pt idx="81">
                  <c:v>41.053721199950594</c:v>
                </c:pt>
                <c:pt idx="82">
                  <c:v>41.022460726902359</c:v>
                </c:pt>
                <c:pt idx="83">
                  <c:v>40.98996643730419</c:v>
                </c:pt>
                <c:pt idx="84">
                  <c:v>40.956199382639078</c:v>
                </c:pt>
                <c:pt idx="85">
                  <c:v>40.921120154521333</c:v>
                </c:pt>
                <c:pt idx="86">
                  <c:v>40.884688941915435</c:v>
                </c:pt>
                <c:pt idx="87">
                  <c:v>40.846865593296656</c:v>
                </c:pt>
                <c:pt idx="88">
                  <c:v>40.807609683777045</c:v>
                </c:pt>
                <c:pt idx="89">
                  <c:v>40.766880587187551</c:v>
                </c:pt>
                <c:pt idx="90">
                  <c:v>40.724637553066991</c:v>
                </c:pt>
                <c:pt idx="91">
                  <c:v>40.680839788466443</c:v>
                </c:pt>
                <c:pt idx="92">
                  <c:v>40.635446544433329</c:v>
                </c:pt>
                <c:pt idx="93">
                  <c:v>40.588417206991068</c:v>
                </c:pt>
                <c:pt idx="94">
                  <c:v>40.53971139238179</c:v>
                </c:pt>
                <c:pt idx="95">
                  <c:v>40.489289046286956</c:v>
                </c:pt>
                <c:pt idx="96">
                  <c:v>40.43711054668907</c:v>
                </c:pt>
                <c:pt idx="97">
                  <c:v>40.383136809983881</c:v>
                </c:pt>
                <c:pt idx="98">
                  <c:v>40.327329399900933</c:v>
                </c:pt>
                <c:pt idx="99">
                  <c:v>40.269650638736024</c:v>
                </c:pt>
                <c:pt idx="100">
                  <c:v>40.210063720352537</c:v>
                </c:pt>
                <c:pt idx="101">
                  <c:v>40.148532824356728</c:v>
                </c:pt>
                <c:pt idx="102">
                  <c:v>40.08502323081327</c:v>
                </c:pt>
                <c:pt idx="103">
                  <c:v>40.019501434822466</c:v>
                </c:pt>
                <c:pt idx="104">
                  <c:v>39.951935260251673</c:v>
                </c:pt>
                <c:pt idx="105">
                  <c:v>39.882293971880941</c:v>
                </c:pt>
                <c:pt idx="106">
                  <c:v>39.810548385206317</c:v>
                </c:pt>
                <c:pt idx="107">
                  <c:v>39.736670973127325</c:v>
                </c:pt>
                <c:pt idx="108">
                  <c:v>39.660635968743946</c:v>
                </c:pt>
                <c:pt idx="109">
                  <c:v>39.582419463489778</c:v>
                </c:pt>
                <c:pt idx="110">
                  <c:v>39.50199949984458</c:v>
                </c:pt>
                <c:pt idx="111">
                  <c:v>39.419356157890014</c:v>
                </c:pt>
                <c:pt idx="112">
                  <c:v>39.334471635006558</c:v>
                </c:pt>
                <c:pt idx="113">
                  <c:v>39.247330318052576</c:v>
                </c:pt>
                <c:pt idx="114">
                  <c:v>39.157918847415552</c:v>
                </c:pt>
                <c:pt idx="115">
                  <c:v>39.066226172388113</c:v>
                </c:pt>
                <c:pt idx="116">
                  <c:v>38.972243597387937</c:v>
                </c:pt>
                <c:pt idx="117">
                  <c:v>38.875964818616325</c:v>
                </c:pt>
                <c:pt idx="118">
                  <c:v>38.777385950830812</c:v>
                </c:pt>
                <c:pt idx="119">
                  <c:v>38.676505543994772</c:v>
                </c:pt>
                <c:pt idx="120">
                  <c:v>38.573324589653964</c:v>
                </c:pt>
                <c:pt idx="121">
                  <c:v>38.46784651698492</c:v>
                </c:pt>
                <c:pt idx="122">
                  <c:v>38.360077178551776</c:v>
                </c:pt>
                <c:pt idx="123">
                  <c:v>38.250024825898251</c:v>
                </c:pt>
                <c:pt idx="124">
                  <c:v>38.137700075196939</c:v>
                </c:pt>
                <c:pt idx="125">
                  <c:v>38.023115863259022</c:v>
                </c:pt>
                <c:pt idx="126">
                  <c:v>37.906287394294523</c:v>
                </c:pt>
                <c:pt idx="127">
                  <c:v>37.787232077888035</c:v>
                </c:pt>
                <c:pt idx="128">
                  <c:v>37.665969458723609</c:v>
                </c:pt>
                <c:pt idx="129">
                  <c:v>37.542521138655495</c:v>
                </c:pt>
                <c:pt idx="130">
                  <c:v>37.416910691775222</c:v>
                </c:pt>
                <c:pt idx="131">
                  <c:v>37.2891635731687</c:v>
                </c:pt>
                <c:pt idx="132">
                  <c:v>37.159307022091831</c:v>
                </c:pt>
                <c:pt idx="133">
                  <c:v>37.027369960320399</c:v>
                </c:pt>
                <c:pt idx="134">
                  <c:v>36.89338288644263</c:v>
                </c:pt>
                <c:pt idx="135">
                  <c:v>36.757377766872409</c:v>
                </c:pt>
                <c:pt idx="136">
                  <c:v>36.619387924355841</c:v>
                </c:pt>
                <c:pt idx="137">
                  <c:v>36.479447924734721</c:v>
                </c:pt>
                <c:pt idx="138">
                  <c:v>36.337593462709464</c:v>
                </c:pt>
                <c:pt idx="139">
                  <c:v>36.193861247319013</c:v>
                </c:pt>
                <c:pt idx="140">
                  <c:v>36.048288887821947</c:v>
                </c:pt>
                <c:pt idx="141">
                  <c:v>35.900914780624845</c:v>
                </c:pt>
                <c:pt idx="142">
                  <c:v>35.751777997860273</c:v>
                </c:pt>
                <c:pt idx="143">
                  <c:v>35.600918178171867</c:v>
                </c:pt>
                <c:pt idx="144">
                  <c:v>35.448375420211889</c:v>
                </c:pt>
                <c:pt idx="145">
                  <c:v>35.294190179306653</c:v>
                </c:pt>
                <c:pt idx="146">
                  <c:v>35.138403167693049</c:v>
                </c:pt>
                <c:pt idx="147">
                  <c:v>34.981055258674267</c:v>
                </c:pt>
                <c:pt idx="148">
                  <c:v>34.822187394992227</c:v>
                </c:pt>
                <c:pt idx="149">
                  <c:v>34.661840501661459</c:v>
                </c:pt>
                <c:pt idx="150">
                  <c:v>34.500055403459243</c:v>
                </c:pt>
                <c:pt idx="151">
                  <c:v>34.336872747219729</c:v>
                </c:pt>
                <c:pt idx="152">
                  <c:v>34.172332929032009</c:v>
                </c:pt>
                <c:pt idx="153">
                  <c:v>34.006476026402424</c:v>
                </c:pt>
                <c:pt idx="154">
                  <c:v>33.839341735400566</c:v>
                </c:pt>
                <c:pt idx="155">
                  <c:v>33.670969312769728</c:v>
                </c:pt>
                <c:pt idx="156">
                  <c:v>33.501397522954882</c:v>
                </c:pt>
                <c:pt idx="157">
                  <c:v>33.330664589966325</c:v>
                </c:pt>
                <c:pt idx="158">
                  <c:v>33.15880815397459</c:v>
                </c:pt>
                <c:pt idx="159">
                  <c:v>32.985865232508338</c:v>
                </c:pt>
                <c:pt idx="160">
                  <c:v>32.811872186106996</c:v>
                </c:pt>
                <c:pt idx="161">
                  <c:v>32.636864688264687</c:v>
                </c:pt>
                <c:pt idx="162">
                  <c:v>32.460877699488542</c:v>
                </c:pt>
                <c:pt idx="163">
                  <c:v>32.28394544528215</c:v>
                </c:pt>
                <c:pt idx="164">
                  <c:v>32.106101397860499</c:v>
                </c:pt>
                <c:pt idx="165">
                  <c:v>31.927378261394459</c:v>
                </c:pt>
                <c:pt idx="166">
                  <c:v>31.747807960580001</c:v>
                </c:pt>
                <c:pt idx="167">
                  <c:v>31.567421632327886</c:v>
                </c:pt>
                <c:pt idx="168">
                  <c:v>31.386249620367614</c:v>
                </c:pt>
                <c:pt idx="169">
                  <c:v>31.20432147256356</c:v>
                </c:pt>
                <c:pt idx="170">
                  <c:v>31.021665940742885</c:v>
                </c:pt>
                <c:pt idx="171">
                  <c:v>30.838310982841669</c:v>
                </c:pt>
                <c:pt idx="172">
                  <c:v>30.654283767178562</c:v>
                </c:pt>
                <c:pt idx="173">
                  <c:v>30.469610678673682</c:v>
                </c:pt>
                <c:pt idx="174">
                  <c:v>30.284317326837382</c:v>
                </c:pt>
                <c:pt idx="175">
                  <c:v>30.098428555360215</c:v>
                </c:pt>
                <c:pt idx="176">
                  <c:v>29.911968453143881</c:v>
                </c:pt>
                <c:pt idx="177">
                  <c:v>29.724960366621843</c:v>
                </c:pt>
                <c:pt idx="178">
                  <c:v>29.537426913226064</c:v>
                </c:pt>
                <c:pt idx="179">
                  <c:v>29.349389995863927</c:v>
                </c:pt>
                <c:pt idx="180">
                  <c:v>29.160870818281339</c:v>
                </c:pt>
                <c:pt idx="181">
                  <c:v>28.971889901191279</c:v>
                </c:pt>
                <c:pt idx="182">
                  <c:v>28.782467099061027</c:v>
                </c:pt>
                <c:pt idx="183">
                  <c:v>28.592621617453982</c:v>
                </c:pt>
                <c:pt idx="184">
                  <c:v>28.402372030834812</c:v>
                </c:pt>
                <c:pt idx="185">
                  <c:v>28.211736300751031</c:v>
                </c:pt>
                <c:pt idx="186">
                  <c:v>28.020731794311928</c:v>
                </c:pt>
                <c:pt idx="187">
                  <c:v>27.829375302895144</c:v>
                </c:pt>
                <c:pt idx="188">
                  <c:v>27.63768306101419</c:v>
                </c:pt>
                <c:pt idx="189">
                  <c:v>27.44567076529005</c:v>
                </c:pt>
                <c:pt idx="190">
                  <c:v>27.253353593474309</c:v>
                </c:pt>
                <c:pt idx="191">
                  <c:v>27.060746223476659</c:v>
                </c:pt>
                <c:pt idx="192">
                  <c:v>26.867862852357103</c:v>
                </c:pt>
                <c:pt idx="193">
                  <c:v>26.674717215244812</c:v>
                </c:pt>
                <c:pt idx="194">
                  <c:v>26.481322604154496</c:v>
                </c:pt>
                <c:pt idx="195">
                  <c:v>26.287691886672381</c:v>
                </c:pt>
                <c:pt idx="196">
                  <c:v>26.093837524488674</c:v>
                </c:pt>
                <c:pt idx="197">
                  <c:v>25.899771591758523</c:v>
                </c:pt>
                <c:pt idx="198">
                  <c:v>25.705505793276274</c:v>
                </c:pt>
                <c:pt idx="199">
                  <c:v>25.51105148244968</c:v>
                </c:pt>
                <c:pt idx="200">
                  <c:v>25.316419679066875</c:v>
                </c:pt>
                <c:pt idx="201">
                  <c:v>25.121621086848108</c:v>
                </c:pt>
                <c:pt idx="202">
                  <c:v>24.926666110780364</c:v>
                </c:pt>
                <c:pt idx="203">
                  <c:v>24.731564874232014</c:v>
                </c:pt>
                <c:pt idx="204">
                  <c:v>24.536327235849456</c:v>
                </c:pt>
                <c:pt idx="205">
                  <c:v>24.34096280623827</c:v>
                </c:pt>
                <c:pt idx="206">
                  <c:v>24.145480964432792</c:v>
                </c:pt>
                <c:pt idx="207">
                  <c:v>23.949890874161678</c:v>
                </c:pt>
                <c:pt idx="208">
                  <c:v>23.754201499915837</c:v>
                </c:pt>
                <c:pt idx="209">
                  <c:v>23.558421622828384</c:v>
                </c:pt>
                <c:pt idx="210">
                  <c:v>23.3625598563765</c:v>
                </c:pt>
                <c:pt idx="211">
                  <c:v>23.166624661916984</c:v>
                </c:pt>
                <c:pt idx="212">
                  <c:v>22.970624364066769</c:v>
                </c:pt>
                <c:pt idx="213">
                  <c:v>22.774567165942202</c:v>
                </c:pt>
                <c:pt idx="214">
                  <c:v>22.57846116426991</c:v>
                </c:pt>
                <c:pt idx="215">
                  <c:v>22.382314364385074</c:v>
                </c:pt>
                <c:pt idx="216">
                  <c:v>22.186134695130374</c:v>
                </c:pt>
                <c:pt idx="217">
                  <c:v>21.989930023671867</c:v>
                </c:pt>
                <c:pt idx="218">
                  <c:v>21.79370817024779</c:v>
                </c:pt>
                <c:pt idx="219">
                  <c:v>21.597476922865397</c:v>
                </c:pt>
                <c:pt idx="220">
                  <c:v>21.401244051963037</c:v>
                </c:pt>
                <c:pt idx="221">
                  <c:v>21.205017325053465</c:v>
                </c:pt>
                <c:pt idx="222">
                  <c:v>21.008804521365487</c:v>
                </c:pt>
                <c:pt idx="223">
                  <c:v>20.812613446498588</c:v>
                </c:pt>
                <c:pt idx="224">
                  <c:v>20.616451947110605</c:v>
                </c:pt>
                <c:pt idx="225">
                  <c:v>20.420327925651588</c:v>
                </c:pt>
                <c:pt idx="226">
                  <c:v>20.224249355160929</c:v>
                </c:pt>
                <c:pt idx="227">
                  <c:v>20.02822429414509</c:v>
                </c:pt>
                <c:pt idx="228">
                  <c:v>19.832260901550448</c:v>
                </c:pt>
                <c:pt idx="229">
                  <c:v>19.636367451845608</c:v>
                </c:pt>
                <c:pt idx="230">
                  <c:v>19.440552350230366</c:v>
                </c:pt>
                <c:pt idx="231">
                  <c:v>19.244824147983326</c:v>
                </c:pt>
                <c:pt idx="232">
                  <c:v>19.049191557962583</c:v>
                </c:pt>
                <c:pt idx="233">
                  <c:v>18.853663470272171</c:v>
                </c:pt>
                <c:pt idx="234">
                  <c:v>18.658248968106541</c:v>
                </c:pt>
                <c:pt idx="235">
                  <c:v>18.462957343782929</c:v>
                </c:pt>
                <c:pt idx="236">
                  <c:v>18.267798114972564</c:v>
                </c:pt>
                <c:pt idx="237">
                  <c:v>18.072781041138626</c:v>
                </c:pt>
                <c:pt idx="238">
                  <c:v>17.877916140188766</c:v>
                </c:pt>
                <c:pt idx="239">
                  <c:v>17.683213705346667</c:v>
                </c:pt>
                <c:pt idx="240">
                  <c:v>17.488684322248968</c:v>
                </c:pt>
                <c:pt idx="241">
                  <c:v>17.294338886266761</c:v>
                </c:pt>
                <c:pt idx="242">
                  <c:v>17.100188620054848</c:v>
                </c:pt>
                <c:pt idx="243">
                  <c:v>16.906245091324553</c:v>
                </c:pt>
                <c:pt idx="244">
                  <c:v>16.712520230836418</c:v>
                </c:pt>
                <c:pt idx="245">
                  <c:v>16.51902635060625</c:v>
                </c:pt>
                <c:pt idx="246">
                  <c:v>16.325776162313264</c:v>
                </c:pt>
                <c:pt idx="247">
                  <c:v>16.132782795898443</c:v>
                </c:pt>
                <c:pt idx="248">
                  <c:v>15.940059818335753</c:v>
                </c:pt>
                <c:pt idx="249">
                  <c:v>15.747621252556751</c:v>
                </c:pt>
                <c:pt idx="250">
                  <c:v>15.555481596504144</c:v>
                </c:pt>
                <c:pt idx="251">
                  <c:v>15.363655842285626</c:v>
                </c:pt>
                <c:pt idx="252">
                  <c:v>15.172159495396018</c:v>
                </c:pt>
                <c:pt idx="253">
                  <c:v>14.981008593969422</c:v>
                </c:pt>
                <c:pt idx="254">
                  <c:v>14.790219728017881</c:v>
                </c:pt>
                <c:pt idx="255">
                  <c:v>14.599810058609403</c:v>
                </c:pt>
                <c:pt idx="256">
                  <c:v>14.409797336930254</c:v>
                </c:pt>
                <c:pt idx="257">
                  <c:v>14.22019992317068</c:v>
                </c:pt>
                <c:pt idx="258">
                  <c:v>14.031036805167894</c:v>
                </c:pt>
                <c:pt idx="259">
                  <c:v>13.842327616731895</c:v>
                </c:pt>
                <c:pt idx="260">
                  <c:v>13.654092655572779</c:v>
                </c:pt>
                <c:pt idx="261">
                  <c:v>13.466352900742118</c:v>
                </c:pt>
                <c:pt idx="262">
                  <c:v>13.279130029491126</c:v>
                </c:pt>
                <c:pt idx="263">
                  <c:v>13.092446433441312</c:v>
                </c:pt>
                <c:pt idx="264">
                  <c:v>12.906325233956185</c:v>
                </c:pt>
                <c:pt idx="265">
                  <c:v>12.720790296592616</c:v>
                </c:pt>
                <c:pt idx="266">
                  <c:v>12.535866244502166</c:v>
                </c:pt>
                <c:pt idx="267">
                  <c:v>12.351578470645258</c:v>
                </c:pt>
                <c:pt idx="268">
                  <c:v>12.167953148672579</c:v>
                </c:pt>
                <c:pt idx="269">
                  <c:v>11.985017242316927</c:v>
                </c:pt>
                <c:pt idx="270">
                  <c:v>11.802798513135883</c:v>
                </c:pt>
                <c:pt idx="271">
                  <c:v>11.621325526431693</c:v>
                </c:pt>
                <c:pt idx="272">
                  <c:v>11.440627655172957</c:v>
                </c:pt>
                <c:pt idx="273">
                  <c:v>11.260735081731957</c:v>
                </c:pt>
                <c:pt idx="274">
                  <c:v>11.081678797247282</c:v>
                </c:pt>
                <c:pt idx="275">
                  <c:v>10.903490598416074</c:v>
                </c:pt>
                <c:pt idx="276">
                  <c:v>10.726203081515955</c:v>
                </c:pt>
                <c:pt idx="277">
                  <c:v>10.54984963345365</c:v>
                </c:pt>
                <c:pt idx="278">
                  <c:v>10.374464419635547</c:v>
                </c:pt>
                <c:pt idx="279">
                  <c:v>10.200082368458379</c:v>
                </c:pt>
                <c:pt idx="280">
                  <c:v>10.026739152215701</c:v>
                </c:pt>
                <c:pt idx="281">
                  <c:v>9.8544711642242717</c:v>
                </c:pt>
                <c:pt idx="282">
                  <c:v>9.6833154919793536</c:v>
                </c:pt>
                <c:pt idx="283">
                  <c:v>9.5133098861563461</c:v>
                </c:pt>
                <c:pt idx="284">
                  <c:v>9.3444927252888892</c:v>
                </c:pt>
                <c:pt idx="285">
                  <c:v>9.1769029759675096</c:v>
                </c:pt>
                <c:pt idx="286">
                  <c:v>9.0105801484224344</c:v>
                </c:pt>
                <c:pt idx="287">
                  <c:v>8.8455642473702749</c:v>
                </c:pt>
                <c:pt idx="288">
                  <c:v>8.6818957180361949</c:v>
                </c:pt>
                <c:pt idx="289">
                  <c:v>8.5196153872822169</c:v>
                </c:pt>
                <c:pt idx="290">
                  <c:v>8.3587643998104646</c:v>
                </c:pt>
                <c:pt idx="291">
                  <c:v>8.1993841494406556</c:v>
                </c:pt>
                <c:pt idx="292">
                  <c:v>8.0415162054990326</c:v>
                </c:pt>
                <c:pt idx="293">
                  <c:v>7.8852022344005288</c:v>
                </c:pt>
                <c:pt idx="294">
                  <c:v>7.7304839165438235</c:v>
                </c:pt>
                <c:pt idx="295">
                  <c:v>7.5774028586924382</c:v>
                </c:pt>
                <c:pt idx="296">
                  <c:v>7.4260005020582254</c:v>
                </c:pt>
                <c:pt idx="297">
                  <c:v>7.276318026357691</c:v>
                </c:pt>
                <c:pt idx="298">
                  <c:v>7.1283962501641129</c:v>
                </c:pt>
                <c:pt idx="299">
                  <c:v>6.9822755279281985</c:v>
                </c:pt>
                <c:pt idx="300">
                  <c:v>6.8379956440969334</c:v>
                </c:pt>
                <c:pt idx="301">
                  <c:v>6.6955957048101622</c:v>
                </c:pt>
                <c:pt idx="302">
                  <c:v>6.5551140277056019</c:v>
                </c:pt>
                <c:pt idx="303">
                  <c:v>6.4165880304126519</c:v>
                </c:pt>
                <c:pt idx="304">
                  <c:v>6.2800541183590219</c:v>
                </c:pt>
                <c:pt idx="305">
                  <c:v>6.1455475725566497</c:v>
                </c:pt>
                <c:pt idx="306">
                  <c:v>6.0131024380681994</c:v>
                </c:pt>
                <c:pt idx="307">
                  <c:v>5.8827514138863979</c:v>
                </c:pt>
                <c:pt idx="308">
                  <c:v>5.7545257449817813</c:v>
                </c:pt>
                <c:pt idx="309">
                  <c:v>5.6284551172892066</c:v>
                </c:pt>
                <c:pt idx="310">
                  <c:v>5.5045675564119554</c:v>
                </c:pt>
                <c:pt idx="311">
                  <c:v>5.3828893308205821</c:v>
                </c:pt>
                <c:pt idx="312">
                  <c:v>5.2634448603136104</c:v>
                </c:pt>
                <c:pt idx="313">
                  <c:v>5.1462566304854276</c:v>
                </c:pt>
                <c:pt idx="314">
                  <c:v>5.0313451139201435</c:v>
                </c:pt>
                <c:pt idx="315">
                  <c:v>4.9187286987874907</c:v>
                </c:pt>
                <c:pt idx="316">
                  <c:v>4.8084236254707484</c:v>
                </c:pt>
                <c:pt idx="317">
                  <c:v>4.700443931797972</c:v>
                </c:pt>
                <c:pt idx="318">
                  <c:v>4.5948014073829064</c:v>
                </c:pt>
                <c:pt idx="319">
                  <c:v>4.4915055575078107</c:v>
                </c:pt>
                <c:pt idx="320">
                  <c:v>4.3905635769007443</c:v>
                </c:pt>
                <c:pt idx="321">
                  <c:v>4.2919803336771905</c:v>
                </c:pt>
                <c:pt idx="322">
                  <c:v>4.195758363622252</c:v>
                </c:pt>
                <c:pt idx="323">
                  <c:v>4.1018978749009616</c:v>
                </c:pt>
                <c:pt idx="324">
                  <c:v>4.0103967631900614</c:v>
                </c:pt>
                <c:pt idx="325">
                  <c:v>3.9212506371290159</c:v>
                </c:pt>
                <c:pt idx="326">
                  <c:v>3.8344528538993154</c:v>
                </c:pt>
                <c:pt idx="327">
                  <c:v>3.7499945646460819</c:v>
                </c:pt>
                <c:pt idx="328">
                  <c:v>3.6678647693770912</c:v>
                </c:pt>
                <c:pt idx="329">
                  <c:v>3.5880503808874389</c:v>
                </c:pt>
                <c:pt idx="330">
                  <c:v>3.5105362971886538</c:v>
                </c:pt>
                <c:pt idx="331">
                  <c:v>3.4353054818534274</c:v>
                </c:pt>
                <c:pt idx="332">
                  <c:v>3.3623390516245042</c:v>
                </c:pt>
                <c:pt idx="333">
                  <c:v>3.2916163705917172</c:v>
                </c:pt>
                <c:pt idx="334">
                  <c:v>3.2231151501966955</c:v>
                </c:pt>
                <c:pt idx="335">
                  <c:v>3.1568115542920028</c:v>
                </c:pt>
                <c:pt idx="336">
                  <c:v>3.0926803084605292</c:v>
                </c:pt>
                <c:pt idx="337">
                  <c:v>3.030694812785649</c:v>
                </c:pt>
                <c:pt idx="338">
                  <c:v>2.970827257258104</c:v>
                </c:pt>
                <c:pt idx="339">
                  <c:v>2.9130487390076452</c:v>
                </c:pt>
                <c:pt idx="340">
                  <c:v>2.8573293805588476</c:v>
                </c:pt>
                <c:pt idx="341">
                  <c:v>2.8036384483249717</c:v>
                </c:pt>
                <c:pt idx="342">
                  <c:v>2.7519444705812548</c:v>
                </c:pt>
                <c:pt idx="343">
                  <c:v>2.7022153541818557</c:v>
                </c:pt>
                <c:pt idx="344">
                  <c:v>2.6544184993191151</c:v>
                </c:pt>
                <c:pt idx="345">
                  <c:v>2.6085209116582324</c:v>
                </c:pt>
                <c:pt idx="346">
                  <c:v>2.5644893112163518</c:v>
                </c:pt>
                <c:pt idx="347">
                  <c:v>2.5222902373929519</c:v>
                </c:pt>
                <c:pt idx="348">
                  <c:v>2.4818901495938404</c:v>
                </c:pt>
                <c:pt idx="349">
                  <c:v>2.4432555229305901</c:v>
                </c:pt>
                <c:pt idx="350">
                  <c:v>2.4063529385056031</c:v>
                </c:pt>
                <c:pt idx="351">
                  <c:v>2.3711491678299126</c:v>
                </c:pt>
                <c:pt idx="352">
                  <c:v>2.337611250941054</c:v>
                </c:pt>
                <c:pt idx="353">
                  <c:v>2.3057065678159669</c:v>
                </c:pt>
                <c:pt idx="354">
                  <c:v>2.2754029026862264</c:v>
                </c:pt>
                <c:pt idx="355">
                  <c:v>2.2466685008748102</c:v>
                </c:pt>
                <c:pt idx="356">
                  <c:v>2.2194721177777481</c:v>
                </c:pt>
                <c:pt idx="357">
                  <c:v>2.1937830596058805</c:v>
                </c:pt>
                <c:pt idx="358">
                  <c:v>2.1695712154944493</c:v>
                </c:pt>
                <c:pt idx="359">
                  <c:v>2.1468070805614552</c:v>
                </c:pt>
                <c:pt idx="360">
                  <c:v>2.1254617694689011</c:v>
                </c:pt>
                <c:pt idx="361">
                  <c:v>2.1055070199971793</c:v>
                </c:pt>
                <c:pt idx="362">
                  <c:v>2.0869151860911459</c:v>
                </c:pt>
                <c:pt idx="363">
                  <c:v>2.0696592197735746</c:v>
                </c:pt>
                <c:pt idx="364">
                  <c:v>2.0537126412460989</c:v>
                </c:pt>
                <c:pt idx="365">
                  <c:v>2.0390494964068493</c:v>
                </c:pt>
                <c:pt idx="366">
                  <c:v>2.0256443009137293</c:v>
                </c:pt>
                <c:pt idx="367">
                  <c:v>2.013471969802255</c:v>
                </c:pt>
                <c:pt idx="368">
                  <c:v>2.0025077315362307</c:v>
                </c:pt>
                <c:pt idx="369">
                  <c:v>1.9927270252169496</c:v>
                </c:pt>
                <c:pt idx="370">
                  <c:v>1.984105379510265</c:v>
                </c:pt>
                <c:pt idx="371">
                  <c:v>1.9766182716642429</c:v>
                </c:pt>
                <c:pt idx="372">
                  <c:v>1.9702409647829633</c:v>
                </c:pt>
                <c:pt idx="373">
                  <c:v>1.9649483212963812</c:v>
                </c:pt>
                <c:pt idx="374">
                  <c:v>1.9607145903161272</c:v>
                </c:pt>
                <c:pt idx="375">
                  <c:v>1.9575131662983394</c:v>
                </c:pt>
                <c:pt idx="376">
                  <c:v>1.9553163161414944</c:v>
                </c:pt>
                <c:pt idx="377">
                  <c:v>1.9540948715327309</c:v>
                </c:pt>
                <c:pt idx="378">
                  <c:v>1.9538178830240533</c:v>
                </c:pt>
                <c:pt idx="379">
                  <c:v>1.9544522319656024</c:v>
                </c:pt>
                <c:pt idx="380">
                  <c:v>1.9559621960566063</c:v>
                </c:pt>
                <c:pt idx="381">
                  <c:v>1.9583089639024824</c:v>
                </c:pt>
                <c:pt idx="382">
                  <c:v>1.9614500935851553</c:v>
                </c:pt>
                <c:pt idx="383">
                  <c:v>1.9653389098929985</c:v>
                </c:pt>
                <c:pt idx="384">
                  <c:v>1.9699238345121954</c:v>
                </c:pt>
                <c:pt idx="385">
                  <c:v>1.9751476431871233</c:v>
                </c:pt>
                <c:pt idx="386">
                  <c:v>1.9809466436307397</c:v>
                </c:pt>
                <c:pt idx="387">
                  <c:v>1.9872497678457288</c:v>
                </c:pt>
                <c:pt idx="388">
                  <c:v>1.9939775725394391</c:v>
                </c:pt>
                <c:pt idx="389">
                  <c:v>2.0010411415418847</c:v>
                </c:pt>
                <c:pt idx="390">
                  <c:v>2.0083408846215471</c:v>
                </c:pt>
                <c:pt idx="391">
                  <c:v>2.0157652279285934</c:v>
                </c:pt>
                <c:pt idx="392">
                  <c:v>2.0231891925676178</c:v>
                </c:pt>
                <c:pt idx="393">
                  <c:v>2.0304728596321246</c:v>
                </c:pt>
                <c:pt idx="394">
                  <c:v>2.0374597225526312</c:v>
                </c:pt>
                <c:pt idx="395">
                  <c:v>2.0439749309671389</c:v>
                </c:pt>
                <c:pt idx="396">
                  <c:v>2.0498234346907132</c:v>
                </c:pt>
                <c:pt idx="397">
                  <c:v>2.0547880419160633</c:v>
                </c:pt>
                <c:pt idx="398">
                  <c:v>2.0586274126983382</c:v>
                </c:pt>
                <c:pt idx="399">
                  <c:v>2.061074017240117</c:v>
                </c:pt>
                <c:pt idx="400">
                  <c:v>2.0618320986333569</c:v>
                </c:pt>
                <c:pt idx="401">
                  <c:v>2.0605756916055253</c:v>
                </c:pt>
                <c:pt idx="402">
                  <c:v>2.0569467624431352</c:v>
                </c:pt>
                <c:pt idx="403">
                  <c:v>2.0505535504493206</c:v>
                </c:pt>
                <c:pt idx="404">
                  <c:v>2.0409692076538333</c:v>
                </c:pt>
                <c:pt idx="405">
                  <c:v>2.0277308503844056</c:v>
                </c:pt>
                <c:pt idx="406">
                  <c:v>2.0103391527272492</c:v>
                </c:pt>
                <c:pt idx="407">
                  <c:v>1.9882586264619788</c:v>
                </c:pt>
                <c:pt idx="408">
                  <c:v>1.9609187429121762</c:v>
                </c:pt>
                <c:pt idx="409">
                  <c:v>1.9277160570487606</c:v>
                </c:pt>
                <c:pt idx="410">
                  <c:v>1.8880174904993035</c:v>
                </c:pt>
                <c:pt idx="411">
                  <c:v>1.8411649150455567</c:v>
                </c:pt>
                <c:pt idx="412">
                  <c:v>1.7864811490330399</c:v>
                </c:pt>
                <c:pt idx="413">
                  <c:v>1.7232774336724697</c:v>
                </c:pt>
                <c:pt idx="414">
                  <c:v>1.6508623933251796</c:v>
                </c:pt>
                <c:pt idx="415">
                  <c:v>1.5685524039904108</c:v>
                </c:pt>
                <c:pt idx="416">
                  <c:v>1.4756831999940789</c:v>
                </c:pt>
                <c:pt idx="417">
                  <c:v>1.3716224455334001</c:v>
                </c:pt>
                <c:pt idx="418">
                  <c:v>1.2557828931662289</c:v>
                </c:pt>
                <c:pt idx="419">
                  <c:v>1.1276356557533027</c:v>
                </c:pt>
                <c:pt idx="420">
                  <c:v>0.98672304336367767</c:v>
                </c:pt>
                <c:pt idx="421">
                  <c:v>0.83267037379136155</c:v>
                </c:pt>
                <c:pt idx="422">
                  <c:v>0.6651961642187243</c:v>
                </c:pt>
                <c:pt idx="423">
                  <c:v>0.48412015808015196</c:v>
                </c:pt>
                <c:pt idx="424">
                  <c:v>0.2893687357775177</c:v>
                </c:pt>
                <c:pt idx="425">
                  <c:v>8.0977394910026063E-2</c:v>
                </c:pt>
                <c:pt idx="426">
                  <c:v>-0.14090984648295976</c:v>
                </c:pt>
                <c:pt idx="427">
                  <c:v>-0.37604408764563502</c:v>
                </c:pt>
                <c:pt idx="428">
                  <c:v>-0.62407800888950204</c:v>
                </c:pt>
                <c:pt idx="429">
                  <c:v>-0.88457478908128329</c:v>
                </c:pt>
                <c:pt idx="430">
                  <c:v>-1.1570189830334021</c:v>
                </c:pt>
                <c:pt idx="431">
                  <c:v>-1.4408287889368858</c:v>
                </c:pt>
                <c:pt idx="432">
                  <c:v>-1.7353691085376719</c:v>
                </c:pt>
                <c:pt idx="433">
                  <c:v>-2.0399648211934456</c:v>
                </c:pt>
                <c:pt idx="434">
                  <c:v>-2.3539137497282492</c:v>
                </c:pt>
                <c:pt idx="435">
                  <c:v>-2.6764988804934511</c:v>
                </c:pt>
                <c:pt idx="436">
                  <c:v>-3.0069995004873373</c:v>
                </c:pt>
                <c:pt idx="437">
                  <c:v>-3.3447010195796723</c:v>
                </c:pt>
                <c:pt idx="438">
                  <c:v>-3.6889033464521366</c:v>
                </c:pt>
                <c:pt idx="439">
                  <c:v>-4.038927775929765</c:v>
                </c:pt>
                <c:pt idx="440">
                  <c:v>-4.3941224187773003</c:v>
                </c:pt>
                <c:pt idx="441">
                  <c:v>-4.7538662610300895</c:v>
                </c:pt>
                <c:pt idx="442">
                  <c:v>-5.1175719787732454</c:v>
                </c:pt>
                <c:pt idx="443">
                  <c:v>-5.4846876576207393</c:v>
                </c:pt>
                <c:pt idx="444">
                  <c:v>-5.854697576408217</c:v>
                </c:pt>
                <c:pt idx="445">
                  <c:v>-6.2271222146009775</c:v>
                </c:pt>
                <c:pt idx="446">
                  <c:v>-6.6015176353884932</c:v>
                </c:pt>
                <c:pt idx="447">
                  <c:v>-6.9774743838739637</c:v>
                </c:pt>
                <c:pt idx="448">
                  <c:v>-7.3546160242814116</c:v>
                </c:pt>
                <c:pt idx="449">
                  <c:v>-7.7325974233457293</c:v>
                </c:pt>
                <c:pt idx="450">
                  <c:v>-8.1111028702595185</c:v>
                </c:pt>
                <c:pt idx="451">
                  <c:v>-8.4898441075751503</c:v>
                </c:pt>
                <c:pt idx="452">
                  <c:v>-8.8685583328394344</c:v>
                </c:pt>
                <c:pt idx="453">
                  <c:v>-9.2470062177637864</c:v>
                </c:pt>
                <c:pt idx="454">
                  <c:v>-9.6249699805067088</c:v>
                </c:pt>
                <c:pt idx="455">
                  <c:v>-10.002251537151757</c:v>
                </c:pt>
                <c:pt idx="456">
                  <c:v>-10.378670750593775</c:v>
                </c:pt>
                <c:pt idx="457">
                  <c:v>-10.754063788650774</c:v>
                </c:pt>
                <c:pt idx="458">
                  <c:v>-11.128281598108662</c:v>
                </c:pt>
                <c:pt idx="459">
                  <c:v>-11.501188497420923</c:v>
                </c:pt>
                <c:pt idx="460">
                  <c:v>-11.872660887725846</c:v>
                </c:pt>
                <c:pt idx="461">
                  <c:v>-12.242586079567165</c:v>
                </c:pt>
                <c:pt idx="462">
                  <c:v>-12.610861231055067</c:v>
                </c:pt>
                <c:pt idx="463">
                  <c:v>-12.977392392062901</c:v>
                </c:pt>
                <c:pt idx="464">
                  <c:v>-13.342093648309778</c:v>
                </c:pt>
                <c:pt idx="465">
                  <c:v>-13.704886358746538</c:v>
                </c:pt>
                <c:pt idx="466">
                  <c:v>-14.065698479465929</c:v>
                </c:pt>
                <c:pt idx="467">
                  <c:v>-14.424463967330595</c:v>
                </c:pt>
                <c:pt idx="468">
                  <c:v>-14.781122256626123</c:v>
                </c:pt>
                <c:pt idx="469">
                  <c:v>-15.135617802236306</c:v>
                </c:pt>
                <c:pt idx="470">
                  <c:v>-15.48789968310172</c:v>
                </c:pt>
                <c:pt idx="471">
                  <c:v>-15.83792126001633</c:v>
                </c:pt>
                <c:pt idx="472">
                  <c:v>-16.185639882138133</c:v>
                </c:pt>
                <c:pt idx="473">
                  <c:v>-16.531016636920537</c:v>
                </c:pt>
                <c:pt idx="474">
                  <c:v>-16.874016138498575</c:v>
                </c:pt>
                <c:pt idx="475">
                  <c:v>-17.214606349894684</c:v>
                </c:pt>
                <c:pt idx="476">
                  <c:v>-17.552758434721749</c:v>
                </c:pt>
                <c:pt idx="477">
                  <c:v>-17.888446634371693</c:v>
                </c:pt>
                <c:pt idx="478">
                  <c:v>-18.2216481669697</c:v>
                </c:pt>
                <c:pt idx="479">
                  <c:v>-18.552343144658586</c:v>
                </c:pt>
                <c:pt idx="480">
                  <c:v>-18.880514506047785</c:v>
                </c:pt>
                <c:pt idx="481">
                  <c:v>-19.206147960919633</c:v>
                </c:pt>
                <c:pt idx="482">
                  <c:v>-19.529231944538672</c:v>
                </c:pt>
                <c:pt idx="483">
                  <c:v>-19.849757579142619</c:v>
                </c:pt>
                <c:pt idx="484">
                  <c:v>-20.167718640431495</c:v>
                </c:pt>
                <c:pt idx="485">
                  <c:v>-20.483111527087864</c:v>
                </c:pt>
                <c:pt idx="486">
                  <c:v>-20.795935231580241</c:v>
                </c:pt>
                <c:pt idx="487">
                  <c:v>-21.106191310707914</c:v>
                </c:pt>
                <c:pt idx="488">
                  <c:v>-21.413883854545567</c:v>
                </c:pt>
                <c:pt idx="489">
                  <c:v>-21.719019452641426</c:v>
                </c:pt>
                <c:pt idx="490">
                  <c:v>-22.021607156508168</c:v>
                </c:pt>
                <c:pt idx="491">
                  <c:v>-22.321658437623839</c:v>
                </c:pt>
                <c:pt idx="492">
                  <c:v>-22.619187140332976</c:v>
                </c:pt>
                <c:pt idx="493">
                  <c:v>-22.914209429196152</c:v>
                </c:pt>
                <c:pt idx="494">
                  <c:v>-23.20674373049421</c:v>
                </c:pt>
                <c:pt idx="495">
                  <c:v>-23.496810667729783</c:v>
                </c:pt>
                <c:pt idx="496">
                  <c:v>-23.784432991106144</c:v>
                </c:pt>
                <c:pt idx="497">
                  <c:v>-24.069635501081258</c:v>
                </c:pt>
                <c:pt idx="498">
                  <c:v>-24.352444966204054</c:v>
                </c:pt>
                <c:pt idx="499">
                  <c:v>-24.632890035539006</c:v>
                </c:pt>
                <c:pt idx="500">
                  <c:v>-24.911001146066894</c:v>
                </c:pt>
                <c:pt idx="501">
                  <c:v>-25.18681042552485</c:v>
                </c:pt>
                <c:pt idx="502">
                  <c:v>-25.460351591206056</c:v>
                </c:pt>
                <c:pt idx="503">
                  <c:v>-25.731659845287705</c:v>
                </c:pt>
                <c:pt idx="504">
                  <c:v>-26.000771767292406</c:v>
                </c:pt>
                <c:pt idx="505">
                  <c:v>-26.267725204309066</c:v>
                </c:pt>
                <c:pt idx="506">
                  <c:v>-26.5325591596166</c:v>
                </c:pt>
                <c:pt idx="507">
                  <c:v>-26.795313680351317</c:v>
                </c:pt>
                <c:pt idx="508">
                  <c:v>-27.056029744856435</c:v>
                </c:pt>
                <c:pt idx="509">
                  <c:v>-27.314749150335086</c:v>
                </c:pt>
                <c:pt idx="510">
                  <c:v>-27.571514401404084</c:v>
                </c:pt>
                <c:pt idx="511">
                  <c:v>-27.82636860011894</c:v>
                </c:pt>
                <c:pt idx="512">
                  <c:v>-28.079355338003239</c:v>
                </c:pt>
                <c:pt idx="513">
                  <c:v>-28.33051859057759</c:v>
                </c:pt>
                <c:pt idx="514">
                  <c:v>-28.579902614838318</c:v>
                </c:pt>
                <c:pt idx="515">
                  <c:v>-28.827551850092988</c:v>
                </c:pt>
                <c:pt idx="516">
                  <c:v>-29.073510822508979</c:v>
                </c:pt>
                <c:pt idx="517">
                  <c:v>-29.317824053686973</c:v>
                </c:pt>
                <c:pt idx="518">
                  <c:v>-29.560535973518608</c:v>
                </c:pt>
                <c:pt idx="519">
                  <c:v>-29.801690837543596</c:v>
                </c:pt>
                <c:pt idx="520">
                  <c:v>-30.041332648972951</c:v>
                </c:pt>
                <c:pt idx="521">
                  <c:v>-30.279505085499842</c:v>
                </c:pt>
                <c:pt idx="522">
                  <c:v>-30.516251430978922</c:v>
                </c:pt>
                <c:pt idx="523">
                  <c:v>-30.751614512013425</c:v>
                </c:pt>
                <c:pt idx="524">
                  <c:v>-30.985636639453105</c:v>
                </c:pt>
                <c:pt idx="525">
                  <c:v>-31.218359554769908</c:v>
                </c:pt>
                <c:pt idx="526">
                  <c:v>-31.449824381251833</c:v>
                </c:pt>
                <c:pt idx="527">
                  <c:v>-31.680071579921059</c:v>
                </c:pt>
                <c:pt idx="528">
                  <c:v>-31.909140910064487</c:v>
                </c:pt>
                <c:pt idx="529">
                  <c:v>-32.137071394240799</c:v>
                </c:pt>
                <c:pt idx="530">
                  <c:v>-32.363901287606829</c:v>
                </c:pt>
                <c:pt idx="531">
                  <c:v>-32.589668051397858</c:v>
                </c:pt>
                <c:pt idx="532">
                  <c:v>-32.814408330378079</c:v>
                </c:pt>
                <c:pt idx="533">
                  <c:v>-33.038157934071123</c:v>
                </c:pt>
                <c:pt idx="534">
                  <c:v>-33.260951821571872</c:v>
                </c:pt>
                <c:pt idx="535">
                  <c:v>-33.482824089737321</c:v>
                </c:pt>
                <c:pt idx="536">
                  <c:v>-33.703807964550442</c:v>
                </c:pt>
                <c:pt idx="537">
                  <c:v>-33.923935795451747</c:v>
                </c:pt>
                <c:pt idx="538">
                  <c:v>-34.143239052432428</c:v>
                </c:pt>
                <c:pt idx="539">
                  <c:v>-34.361748325685902</c:v>
                </c:pt>
                <c:pt idx="540">
                  <c:v>-34.579493327619971</c:v>
                </c:pt>
                <c:pt idx="541">
                  <c:v>-34.796502897034919</c:v>
                </c:pt>
              </c:numCache>
            </c:numRef>
          </c:yVal>
          <c:smooth val="1"/>
          <c:extLst>
            <c:ext xmlns:c16="http://schemas.microsoft.com/office/drawing/2014/chart" uri="{C3380CC4-5D6E-409C-BE32-E72D297353CC}">
              <c16:uniqueId val="{00000000-99B5-4BE4-980F-77A3170EB8F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-3.8093339858523532</c:v>
                </c:pt>
                <c:pt idx="1">
                  <c:v>-3.897802541361242</c:v>
                </c:pt>
                <c:pt idx="2">
                  <c:v>-3.988313109960401</c:v>
                </c:pt>
                <c:pt idx="3">
                  <c:v>-4.0809119285033599</c:v>
                </c:pt>
                <c:pt idx="4">
                  <c:v>-4.1756462169156023</c:v>
                </c:pt>
                <c:pt idx="5">
                  <c:v>-4.2725641945013315</c:v>
                </c:pt>
                <c:pt idx="6">
                  <c:v>-4.3717150961737774</c:v>
                </c:pt>
                <c:pt idx="7">
                  <c:v>-4.4731491885764134</c:v>
                </c:pt>
                <c:pt idx="8">
                  <c:v>-4.5769177860594663</c:v>
                </c:pt>
                <c:pt idx="9">
                  <c:v>-4.683073266474028</c:v>
                </c:pt>
                <c:pt idx="10">
                  <c:v>-4.7916690867416714</c:v>
                </c:pt>
                <c:pt idx="11">
                  <c:v>-4.9027597981553779</c:v>
                </c:pt>
                <c:pt idx="12">
                  <c:v>-5.0164010613631591</c:v>
                </c:pt>
                <c:pt idx="13">
                  <c:v>-5.1326496609827119</c:v>
                </c:pt>
                <c:pt idx="14">
                  <c:v>-5.2515635197906274</c:v>
                </c:pt>
                <c:pt idx="15">
                  <c:v>-5.3732017124264244</c:v>
                </c:pt>
                <c:pt idx="16">
                  <c:v>-5.497624478546312</c:v>
                </c:pt>
                <c:pt idx="17">
                  <c:v>-5.6248932353576118</c:v>
                </c:pt>
                <c:pt idx="18">
                  <c:v>-5.7550705894586205</c:v>
                </c:pt>
                <c:pt idx="19">
                  <c:v>-5.8882203479054018</c:v>
                </c:pt>
                <c:pt idx="20">
                  <c:v>-6.0244075284188341</c:v>
                </c:pt>
                <c:pt idx="21">
                  <c:v>-6.1636983686412465</c:v>
                </c:pt>
                <c:pt idx="22">
                  <c:v>-6.3061603343446206</c:v>
                </c:pt>
                <c:pt idx="23">
                  <c:v>-6.4518621264879386</c:v>
                </c:pt>
                <c:pt idx="24">
                  <c:v>-6.6008736870096483</c:v>
                </c:pt>
                <c:pt idx="25">
                  <c:v>-6.7532662032407282</c:v>
                </c:pt>
                <c:pt idx="26">
                  <c:v>-6.9091121108088327</c:v>
                </c:pt>
                <c:pt idx="27">
                  <c:v>-7.0684850949033331</c:v>
                </c:pt>
                <c:pt idx="28">
                  <c:v>-7.2314600897567782</c:v>
                </c:pt>
                <c:pt idx="29">
                  <c:v>-7.3981132761933015</c:v>
                </c:pt>
                <c:pt idx="30">
                  <c:v>-7.5685220770842845</c:v>
                </c:pt>
                <c:pt idx="31">
                  <c:v>-7.7427651505423611</c:v>
                </c:pt>
                <c:pt idx="32">
                  <c:v>-7.9209223806748277</c:v>
                </c:pt>
                <c:pt idx="33">
                  <c:v>-8.10307486570888</c:v>
                </c:pt>
                <c:pt idx="34">
                  <c:v>-8.2893049032883415</c:v>
                </c:pt>
                <c:pt idx="35">
                  <c:v>-8.479695972734298</c:v>
                </c:pt>
                <c:pt idx="36">
                  <c:v>-8.6743327140476705</c:v>
                </c:pt>
                <c:pt idx="37">
                  <c:v>-8.8733009034234769</c:v>
                </c:pt>
                <c:pt idx="38">
                  <c:v>-9.0766874250345104</c:v>
                </c:pt>
                <c:pt idx="39">
                  <c:v>-9.2845802388280312</c:v>
                </c:pt>
                <c:pt idx="40">
                  <c:v>-9.4970683440739467</c:v>
                </c:pt>
                <c:pt idx="41">
                  <c:v>-9.7142417383840431</c:v>
                </c:pt>
                <c:pt idx="42">
                  <c:v>-9.9361913719161006</c:v>
                </c:pt>
                <c:pt idx="43">
                  <c:v>-10.163009096461035</c:v>
                </c:pt>
                <c:pt idx="44">
                  <c:v>-10.394787609105501</c:v>
                </c:pt>
                <c:pt idx="45">
                  <c:v>-10.631620390145519</c:v>
                </c:pt>
                <c:pt idx="46">
                  <c:v>-10.873601634920822</c:v>
                </c:pt>
                <c:pt idx="47">
                  <c:v>-11.120826179229727</c:v>
                </c:pt>
                <c:pt idx="48">
                  <c:v>-11.373389417972698</c:v>
                </c:pt>
                <c:pt idx="49">
                  <c:v>-11.631387216668006</c:v>
                </c:pt>
                <c:pt idx="50">
                  <c:v>-11.894915815475409</c:v>
                </c:pt>
                <c:pt idx="51">
                  <c:v>-12.164071725358053</c:v>
                </c:pt>
                <c:pt idx="52">
                  <c:v>-12.438951616007994</c:v>
                </c:pt>
                <c:pt idx="53">
                  <c:v>-12.719652195163054</c:v>
                </c:pt>
                <c:pt idx="54">
                  <c:v>-13.006270078938163</c:v>
                </c:pt>
                <c:pt idx="55">
                  <c:v>-13.2989016528</c:v>
                </c:pt>
                <c:pt idx="56">
                  <c:v>-13.597642922819528</c:v>
                </c:pt>
                <c:pt idx="57">
                  <c:v>-13.902589356844032</c:v>
                </c:pt>
                <c:pt idx="58">
                  <c:v>-14.213835715244288</c:v>
                </c:pt>
                <c:pt idx="59">
                  <c:v>-14.531475870906871</c:v>
                </c:pt>
                <c:pt idx="60">
                  <c:v>-14.855602618163998</c:v>
                </c:pt>
                <c:pt idx="61">
                  <c:v>-15.186307470376093</c:v>
                </c:pt>
                <c:pt idx="62">
                  <c:v>-15.523680445913126</c:v>
                </c:pt>
                <c:pt idx="63">
                  <c:v>-15.867809842318502</c:v>
                </c:pt>
                <c:pt idx="64">
                  <c:v>-16.218781998477365</c:v>
                </c:pt>
                <c:pt idx="65">
                  <c:v>-16.576681044660933</c:v>
                </c:pt>
                <c:pt idx="66">
                  <c:v>-16.941588640374743</c:v>
                </c:pt>
                <c:pt idx="67">
                  <c:v>-17.313583699998237</c:v>
                </c:pt>
                <c:pt idx="68">
                  <c:v>-17.692742106273091</c:v>
                </c:pt>
                <c:pt idx="69">
                  <c:v>-18.079136411777437</c:v>
                </c:pt>
                <c:pt idx="70">
                  <c:v>-18.472835528607522</c:v>
                </c:pt>
                <c:pt idx="71">
                  <c:v>-18.873904406580611</c:v>
                </c:pt>
                <c:pt idx="72">
                  <c:v>-19.28240370038009</c:v>
                </c:pt>
                <c:pt idx="73">
                  <c:v>-19.698389426171147</c:v>
                </c:pt>
                <c:pt idx="74">
                  <c:v>-20.121912608337684</c:v>
                </c:pt>
                <c:pt idx="75">
                  <c:v>-20.553018917119054</c:v>
                </c:pt>
                <c:pt idx="76">
                  <c:v>-20.991748298061314</c:v>
                </c:pt>
                <c:pt idx="77">
                  <c:v>-21.438134594341225</c:v>
                </c:pt>
                <c:pt idx="78">
                  <c:v>-21.892205163174332</c:v>
                </c:pt>
                <c:pt idx="79">
                  <c:v>-22.353980487673553</c:v>
                </c:pt>
                <c:pt idx="80">
                  <c:v>-22.823473785685774</c:v>
                </c:pt>
                <c:pt idx="81">
                  <c:v>-23.300690617302426</c:v>
                </c:pt>
                <c:pt idx="82">
                  <c:v>-23.785628492905008</c:v>
                </c:pt>
                <c:pt idx="83">
                  <c:v>-24.27827648377621</c:v>
                </c:pt>
                <c:pt idx="84">
                  <c:v>-24.778614837474521</c:v>
                </c:pt>
                <c:pt idx="85">
                  <c:v>-25.286614600326523</c:v>
                </c:pt>
                <c:pt idx="86">
                  <c:v>-25.802237249557944</c:v>
                </c:pt>
                <c:pt idx="87">
                  <c:v>-26.325434337719329</c:v>
                </c:pt>
                <c:pt idx="88">
                  <c:v>-26.856147152207438</c:v>
                </c:pt>
                <c:pt idx="89">
                  <c:v>-27.394306392792974</c:v>
                </c:pt>
                <c:pt idx="90">
                  <c:v>-27.939831870175983</c:v>
                </c:pt>
                <c:pt idx="91">
                  <c:v>-28.492632228661254</c:v>
                </c:pt>
                <c:pt idx="92">
                  <c:v>-29.052604696105274</c:v>
                </c:pt>
                <c:pt idx="93">
                  <c:v>-29.619634864309951</c:v>
                </c:pt>
                <c:pt idx="94">
                  <c:v>-30.193596503033824</c:v>
                </c:pt>
                <c:pt idx="95">
                  <c:v>-30.774351410749489</c:v>
                </c:pt>
                <c:pt idx="96">
                  <c:v>-31.361749305199861</c:v>
                </c:pt>
                <c:pt idx="97">
                  <c:v>-31.955627756688251</c:v>
                </c:pt>
                <c:pt idx="98">
                  <c:v>-32.555812166879782</c:v>
                </c:pt>
                <c:pt idx="99">
                  <c:v>-33.162115795688237</c:v>
                </c:pt>
                <c:pt idx="100">
                  <c:v>-33.774339838579323</c:v>
                </c:pt>
                <c:pt idx="101">
                  <c:v>-34.392273556335489</c:v>
                </c:pt>
                <c:pt idx="102">
                  <c:v>-35.015694458992385</c:v>
                </c:pt>
                <c:pt idx="103">
                  <c:v>-35.644368545290391</c:v>
                </c:pt>
                <c:pt idx="104">
                  <c:v>-36.278050598573969</c:v>
                </c:pt>
                <c:pt idx="105">
                  <c:v>-36.916484539627334</c:v>
                </c:pt>
                <c:pt idx="106">
                  <c:v>-37.559403836462906</c:v>
                </c:pt>
                <c:pt idx="107">
                  <c:v>-38.206531970578709</c:v>
                </c:pt>
                <c:pt idx="108">
                  <c:v>-38.857582958683636</c:v>
                </c:pt>
                <c:pt idx="109">
                  <c:v>-39.512261928363223</c:v>
                </c:pt>
                <c:pt idx="110">
                  <c:v>-40.17026574562</c:v>
                </c:pt>
                <c:pt idx="111">
                  <c:v>-40.831283691696363</c:v>
                </c:pt>
                <c:pt idx="112">
                  <c:v>-41.494998186068095</c:v>
                </c:pt>
                <c:pt idx="113">
                  <c:v>-42.161085551999136</c:v>
                </c:pt>
                <c:pt idx="114">
                  <c:v>-42.829216820577074</c:v>
                </c:pt>
                <c:pt idx="115">
                  <c:v>-43.49905856871915</c:v>
                </c:pt>
                <c:pt idx="116">
                  <c:v>-44.170273786246987</c:v>
                </c:pt>
                <c:pt idx="117">
                  <c:v>-44.842522766793834</c:v>
                </c:pt>
                <c:pt idx="118">
                  <c:v>-45.515464017027668</c:v>
                </c:pt>
                <c:pt idx="119">
                  <c:v>-46.188755178458173</c:v>
                </c:pt>
                <c:pt idx="120">
                  <c:v>-46.862053955944837</c:v>
                </c:pt>
                <c:pt idx="121">
                  <c:v>-47.535019046948605</c:v>
                </c:pt>
                <c:pt idx="122">
                  <c:v>-48.207311065552425</c:v>
                </c:pt>
                <c:pt idx="123">
                  <c:v>-48.878593455354611</c:v>
                </c:pt>
                <c:pt idx="124">
                  <c:v>-49.548533385454022</c:v>
                </c:pt>
                <c:pt idx="125">
                  <c:v>-50.216802623967794</c:v>
                </c:pt>
                <c:pt idx="126">
                  <c:v>-50.883078383772691</c:v>
                </c:pt>
                <c:pt idx="127">
                  <c:v>-51.547044135491468</c:v>
                </c:pt>
                <c:pt idx="128">
                  <c:v>-52.208390383126094</c:v>
                </c:pt>
                <c:pt idx="129">
                  <c:v>-52.866815398163986</c:v>
                </c:pt>
                <c:pt idx="130">
                  <c:v>-53.522025908431601</c:v>
                </c:pt>
                <c:pt idx="131">
                  <c:v>-54.173737738484732</c:v>
                </c:pt>
                <c:pt idx="132">
                  <c:v>-54.821676398822831</c:v>
                </c:pt>
                <c:pt idx="133">
                  <c:v>-55.465577621746554</c:v>
                </c:pt>
                <c:pt idx="134">
                  <c:v>-56.105187842217241</c:v>
                </c:pt>
                <c:pt idx="135">
                  <c:v>-56.740264622599575</c:v>
                </c:pt>
                <c:pt idx="136">
                  <c:v>-57.370577020695698</c:v>
                </c:pt>
                <c:pt idx="137">
                  <c:v>-57.995905900980858</c:v>
                </c:pt>
                <c:pt idx="138">
                  <c:v>-58.616044189423775</c:v>
                </c:pt>
                <c:pt idx="139">
                  <c:v>-59.230797072740778</c:v>
                </c:pt>
                <c:pt idx="140">
                  <c:v>-59.839982143332421</c:v>
                </c:pt>
                <c:pt idx="141">
                  <c:v>-60.443429491541927</c:v>
                </c:pt>
                <c:pt idx="142">
                  <c:v>-61.040981747212641</c:v>
                </c:pt>
                <c:pt idx="143">
                  <c:v>-61.632494072813749</c:v>
                </c:pt>
                <c:pt idx="144">
                  <c:v>-62.217834110665613</c:v>
                </c:pt>
                <c:pt idx="145">
                  <c:v>-62.796881887000602</c:v>
                </c:pt>
                <c:pt idx="146">
                  <c:v>-63.369529675764142</c:v>
                </c:pt>
                <c:pt idx="147">
                  <c:v>-63.935681825189967</c:v>
                </c:pt>
                <c:pt idx="148">
                  <c:v>-64.495254550266239</c:v>
                </c:pt>
                <c:pt idx="149">
                  <c:v>-65.048175694258518</c:v>
                </c:pt>
                <c:pt idx="150">
                  <c:v>-65.594384462469677</c:v>
                </c:pt>
                <c:pt idx="151">
                  <c:v>-66.13383113139605</c:v>
                </c:pt>
                <c:pt idx="152">
                  <c:v>-66.666476736392639</c:v>
                </c:pt>
                <c:pt idx="153">
                  <c:v>-67.192292740885634</c:v>
                </c:pt>
                <c:pt idx="154">
                  <c:v>-67.711260690071285</c:v>
                </c:pt>
                <c:pt idx="155">
                  <c:v>-68.223371851931716</c:v>
                </c:pt>
                <c:pt idx="156">
                  <c:v>-68.728626848258003</c:v>
                </c:pt>
                <c:pt idx="157">
                  <c:v>-69.227035278232691</c:v>
                </c:pt>
                <c:pt idx="158">
                  <c:v>-69.718615336966579</c:v>
                </c:pt>
                <c:pt idx="159">
                  <c:v>-70.203393431227141</c:v>
                </c:pt>
                <c:pt idx="160">
                  <c:v>-70.681403794423645</c:v>
                </c:pt>
                <c:pt idx="161">
                  <c:v>-71.152688102754041</c:v>
                </c:pt>
                <c:pt idx="162">
                  <c:v>-71.617295094244867</c:v>
                </c:pt>
                <c:pt idx="163">
                  <c:v>-72.075280192252251</c:v>
                </c:pt>
                <c:pt idx="164">
                  <c:v>-72.526705134828575</c:v>
                </c:pt>
                <c:pt idx="165">
                  <c:v>-72.971637611199057</c:v>
                </c:pt>
                <c:pt idx="166">
                  <c:v>-73.410150906445182</c:v>
                </c:pt>
                <c:pt idx="167">
                  <c:v>-73.84232355534013</c:v>
                </c:pt>
                <c:pt idx="168">
                  <c:v>-74.268239006148477</c:v>
                </c:pt>
                <c:pt idx="169">
                  <c:v>-74.687985295067804</c:v>
                </c:pt>
                <c:pt idx="170">
                  <c:v>-75.10165473187223</c:v>
                </c:pt>
                <c:pt idx="171">
                  <c:v>-75.509343597199177</c:v>
                </c:pt>
                <c:pt idx="172">
                  <c:v>-75.911151851821728</c:v>
                </c:pt>
                <c:pt idx="173">
                  <c:v>-76.307182858148735</c:v>
                </c:pt>
                <c:pt idx="174">
                  <c:v>-76.69754311410712</c:v>
                </c:pt>
                <c:pt idx="175">
                  <c:v>-77.082341999484257</c:v>
                </c:pt>
                <c:pt idx="176">
                  <c:v>-77.461691534733902</c:v>
                </c:pt>
                <c:pt idx="177">
                  <c:v>-77.835706152185935</c:v>
                </c:pt>
                <c:pt idx="178">
                  <c:v>-78.204502479545155</c:v>
                </c:pt>
                <c:pt idx="179">
                  <c:v>-78.568199135512302</c:v>
                </c:pt>
                <c:pt idx="180">
                  <c:v>-78.926916537319087</c:v>
                </c:pt>
                <c:pt idx="181">
                  <c:v>-79.280776719931026</c:v>
                </c:pt>
                <c:pt idx="182">
                  <c:v>-79.629903166640005</c:v>
                </c:pt>
                <c:pt idx="183">
                  <c:v>-79.974420650743738</c:v>
                </c:pt>
                <c:pt idx="184">
                  <c:v>-80.314455087984143</c:v>
                </c:pt>
                <c:pt idx="185">
                  <c:v>-80.650133399404083</c:v>
                </c:pt>
                <c:pt idx="186">
                  <c:v>-80.981583384263971</c:v>
                </c:pt>
                <c:pt idx="187">
                  <c:v>-81.308933602652033</c:v>
                </c:pt>
                <c:pt idx="188">
                  <c:v>-81.632313267415853</c:v>
                </c:pt>
                <c:pt idx="189">
                  <c:v>-81.951852145036483</c:v>
                </c:pt>
                <c:pt idx="190">
                  <c:v>-82.267680465067272</c:v>
                </c:pt>
                <c:pt idx="191">
                  <c:v>-82.579928837758786</c:v>
                </c:pt>
                <c:pt idx="192">
                  <c:v>-82.888728179494194</c:v>
                </c:pt>
                <c:pt idx="193">
                  <c:v>-83.194209645663193</c:v>
                </c:pt>
                <c:pt idx="194">
                  <c:v>-83.496504570609432</c:v>
                </c:pt>
                <c:pt idx="195">
                  <c:v>-83.795744414290652</c:v>
                </c:pt>
                <c:pt idx="196">
                  <c:v>-84.092060715300804</c:v>
                </c:pt>
                <c:pt idx="197">
                  <c:v>-84.385585049910304</c:v>
                </c:pt>
                <c:pt idx="198">
                  <c:v>-84.676448996788821</c:v>
                </c:pt>
                <c:pt idx="199">
                  <c:v>-84.96478410708751</c:v>
                </c:pt>
                <c:pt idx="200">
                  <c:v>-85.250721879562889</c:v>
                </c:pt>
                <c:pt idx="201">
                  <c:v>-85.534393740437665</c:v>
                </c:pt>
                <c:pt idx="202">
                  <c:v>-85.815931027702362</c:v>
                </c:pt>
                <c:pt idx="203">
                  <c:v>-86.095464979571659</c:v>
                </c:pt>
                <c:pt idx="204">
                  <c:v>-86.373126726818725</c:v>
                </c:pt>
                <c:pt idx="205">
                  <c:v>-86.649047288721107</c:v>
                </c:pt>
                <c:pt idx="206">
                  <c:v>-86.923357572360146</c:v>
                </c:pt>
                <c:pt idx="207">
                  <c:v>-87.196188375025841</c:v>
                </c:pt>
                <c:pt idx="208">
                  <c:v>-87.467670389485875</c:v>
                </c:pt>
                <c:pt idx="209">
                  <c:v>-87.737934211888614</c:v>
                </c:pt>
                <c:pt idx="210">
                  <c:v>-88.007110352073667</c:v>
                </c:pt>
                <c:pt idx="211">
                  <c:v>-88.275329246075003</c:v>
                </c:pt>
                <c:pt idx="212">
                  <c:v>-88.542721270605028</c:v>
                </c:pt>
                <c:pt idx="213">
                  <c:v>-88.809416759315909</c:v>
                </c:pt>
                <c:pt idx="214">
                  <c:v>-89.075546020639891</c:v>
                </c:pt>
                <c:pt idx="215">
                  <c:v>-89.341239357014445</c:v>
                </c:pt>
                <c:pt idx="216">
                  <c:v>-89.606627085304709</c:v>
                </c:pt>
                <c:pt idx="217">
                  <c:v>-89.871839558236374</c:v>
                </c:pt>
                <c:pt idx="218">
                  <c:v>-90.137007186658934</c:v>
                </c:pt>
                <c:pt idx="219">
                  <c:v>-90.40226046245931</c:v>
                </c:pt>
                <c:pt idx="220">
                  <c:v>-90.667729981949194</c:v>
                </c:pt>
                <c:pt idx="221">
                  <c:v>-90.933546469551118</c:v>
                </c:pt>
                <c:pt idx="222">
                  <c:v>-91.199840801606797</c:v>
                </c:pt>
                <c:pt idx="223">
                  <c:v>-91.466744030136709</c:v>
                </c:pt>
                <c:pt idx="224">
                  <c:v>-91.734387406372306</c:v>
                </c:pt>
                <c:pt idx="225">
                  <c:v>-92.002902403887447</c:v>
                </c:pt>
                <c:pt idx="226">
                  <c:v>-92.272420741151777</c:v>
                </c:pt>
                <c:pt idx="227">
                  <c:v>-92.543074403324198</c:v>
                </c:pt>
                <c:pt idx="228">
                  <c:v>-92.814995663106075</c:v>
                </c:pt>
                <c:pt idx="229">
                  <c:v>-93.088317100468188</c:v>
                </c:pt>
                <c:pt idx="230">
                  <c:v>-93.363171621058825</c:v>
                </c:pt>
                <c:pt idx="231">
                  <c:v>-93.639692473102102</c:v>
                </c:pt>
                <c:pt idx="232">
                  <c:v>-93.918013262583273</c:v>
                </c:pt>
                <c:pt idx="233">
                  <c:v>-94.198267966517804</c:v>
                </c:pt>
                <c:pt idx="234">
                  <c:v>-94.480590944090622</c:v>
                </c:pt>
                <c:pt idx="235">
                  <c:v>-94.765116945448213</c:v>
                </c:pt>
                <c:pt idx="236">
                  <c:v>-95.051981117915915</c:v>
                </c:pt>
                <c:pt idx="237">
                  <c:v>-95.341319009408139</c:v>
                </c:pt>
                <c:pt idx="238">
                  <c:v>-95.633266568788002</c:v>
                </c:pt>
                <c:pt idx="239">
                  <c:v>-95.927960142926949</c:v>
                </c:pt>
                <c:pt idx="240">
                  <c:v>-96.225536470203679</c:v>
                </c:pt>
                <c:pt idx="241">
                  <c:v>-96.526132670174036</c:v>
                </c:pt>
                <c:pt idx="242">
                  <c:v>-96.829886229133578</c:v>
                </c:pt>
                <c:pt idx="243">
                  <c:v>-97.136934981284512</c:v>
                </c:pt>
                <c:pt idx="244">
                  <c:v>-97.447417085209494</c:v>
                </c:pt>
                <c:pt idx="245">
                  <c:v>-97.76147099534478</c:v>
                </c:pt>
                <c:pt idx="246">
                  <c:v>-98.079235428135831</c:v>
                </c:pt>
                <c:pt idx="247">
                  <c:v>-98.400849322549362</c:v>
                </c:pt>
                <c:pt idx="248">
                  <c:v>-98.726451794605367</c:v>
                </c:pt>
                <c:pt idx="249">
                  <c:v>-99.056182085587025</c:v>
                </c:pt>
                <c:pt idx="250">
                  <c:v>-99.390179503574728</c:v>
                </c:pt>
                <c:pt idx="251">
                  <c:v>-99.728583357947812</c:v>
                </c:pt>
                <c:pt idx="252">
                  <c:v>-100.0715328864872</c:v>
                </c:pt>
                <c:pt idx="253">
                  <c:v>-100.41916717471054</c:v>
                </c:pt>
                <c:pt idx="254">
                  <c:v>-100.77162506706854</c:v>
                </c:pt>
                <c:pt idx="255">
                  <c:v>-101.12904506962499</c:v>
                </c:pt>
                <c:pt idx="256">
                  <c:v>-101.49156524385045</c:v>
                </c:pt>
                <c:pt idx="257">
                  <c:v>-101.85932309115636</c:v>
                </c:pt>
                <c:pt idx="258">
                  <c:v>-102.23245542780543</c:v>
                </c:pt>
                <c:pt idx="259">
                  <c:v>-102.61109824984</c:v>
                </c:pt>
                <c:pt idx="260">
                  <c:v>-102.99538658768545</c:v>
                </c:pt>
                <c:pt idx="261">
                  <c:v>-103.3854543500956</c:v>
                </c:pt>
                <c:pt idx="262">
                  <c:v>-103.78143415713166</c:v>
                </c:pt>
                <c:pt idx="263">
                  <c:v>-104.18345716188934</c:v>
                </c:pt>
                <c:pt idx="264">
                  <c:v>-104.59165286071395</c:v>
                </c:pt>
                <c:pt idx="265">
                  <c:v>-105.00614889168237</c:v>
                </c:pt>
                <c:pt idx="266">
                  <c:v>-105.42707082116929</c:v>
                </c:pt>
                <c:pt idx="267">
                  <c:v>-105.8545419183599</c:v>
                </c:pt>
                <c:pt idx="268">
                  <c:v>-106.28868291762589</c:v>
                </c:pt>
                <c:pt idx="269">
                  <c:v>-106.72961176874357</c:v>
                </c:pt>
                <c:pt idx="270">
                  <c:v>-107.17744337499433</c:v>
                </c:pt>
                <c:pt idx="271">
                  <c:v>-107.63228931927247</c:v>
                </c:pt>
                <c:pt idx="272">
                  <c:v>-108.09425757839854</c:v>
                </c:pt>
                <c:pt idx="273">
                  <c:v>-108.56345222593893</c:v>
                </c:pt>
                <c:pt idx="274">
                  <c:v>-109.03997312392256</c:v>
                </c:pt>
                <c:pt idx="275">
                  <c:v>-109.52391560396423</c:v>
                </c:pt>
                <c:pt idx="276">
                  <c:v>-110.01537013841464</c:v>
                </c:pt>
                <c:pt idx="277">
                  <c:v>-110.51442200228814</c:v>
                </c:pt>
                <c:pt idx="278">
                  <c:v>-111.02115092685227</c:v>
                </c:pt>
                <c:pt idx="279">
                  <c:v>-111.53563074590303</c:v>
                </c:pt>
                <c:pt idx="280">
                  <c:v>-112.05792903590503</c:v>
                </c:pt>
                <c:pt idx="281">
                  <c:v>-112.58810675132555</c:v>
                </c:pt>
                <c:pt idx="282">
                  <c:v>-113.1262178566582</c:v>
                </c:pt>
                <c:pt idx="283">
                  <c:v>-113.67230895679155</c:v>
                </c:pt>
                <c:pt idx="284">
                  <c:v>-114.22641892755355</c:v>
                </c:pt>
                <c:pt idx="285">
                  <c:v>-114.78857854842539</c:v>
                </c:pt>
                <c:pt idx="286">
                  <c:v>-115.35881013958893</c:v>
                </c:pt>
                <c:pt idx="287">
                  <c:v>-115.93712720564329</c:v>
                </c:pt>
                <c:pt idx="288">
                  <c:v>-116.52353408847186</c:v>
                </c:pt>
                <c:pt idx="289">
                  <c:v>-117.11802563191016</c:v>
                </c:pt>
                <c:pt idx="290">
                  <c:v>-117.7205868609926</c:v>
                </c:pt>
                <c:pt idx="291">
                  <c:v>-118.33119267868712</c:v>
                </c:pt>
                <c:pt idx="292">
                  <c:v>-118.94980758314229</c:v>
                </c:pt>
                <c:pt idx="293">
                  <c:v>-119.57638540854506</c:v>
                </c:pt>
                <c:pt idx="294">
                  <c:v>-120.21086909277643</c:v>
                </c:pt>
                <c:pt idx="295">
                  <c:v>-120.85319047506205</c:v>
                </c:pt>
                <c:pt idx="296">
                  <c:v>-121.50327012685027</c:v>
                </c:pt>
                <c:pt idx="297">
                  <c:v>-122.16101721910333</c:v>
                </c:pt>
                <c:pt idx="298">
                  <c:v>-122.82632942913848</c:v>
                </c:pt>
                <c:pt idx="299">
                  <c:v>-123.49909289005222</c:v>
                </c:pt>
                <c:pt idx="300">
                  <c:v>-124.17918218561489</c:v>
                </c:pt>
                <c:pt idx="301">
                  <c:v>-124.86646039335115</c:v>
                </c:pt>
                <c:pt idx="302">
                  <c:v>-125.56077917828375</c:v>
                </c:pt>
                <c:pt idx="303">
                  <c:v>-126.26197893955646</c:v>
                </c:pt>
                <c:pt idx="304">
                  <c:v>-126.96988901184078</c:v>
                </c:pt>
                <c:pt idx="305">
                  <c:v>-127.68432792307163</c:v>
                </c:pt>
                <c:pt idx="306">
                  <c:v>-128.405103709673</c:v>
                </c:pt>
                <c:pt idx="307">
                  <c:v>-129.13201429000699</c:v>
                </c:pt>
                <c:pt idx="308">
                  <c:v>-129.86484789631234</c:v>
                </c:pt>
                <c:pt idx="309">
                  <c:v>-130.60338356492565</c:v>
                </c:pt>
                <c:pt idx="310">
                  <c:v>-131.34739168406537</c:v>
                </c:pt>
                <c:pt idx="311">
                  <c:v>-132.09663459794396</c:v>
                </c:pt>
                <c:pt idx="312">
                  <c:v>-132.85086726543886</c:v>
                </c:pt>
                <c:pt idx="313">
                  <c:v>-133.6098379710443</c:v>
                </c:pt>
                <c:pt idx="314">
                  <c:v>-134.37328908528966</c:v>
                </c:pt>
                <c:pt idx="315">
                  <c:v>-135.14095787133365</c:v>
                </c:pt>
                <c:pt idx="316">
                  <c:v>-135.91257733395852</c:v>
                </c:pt>
                <c:pt idx="317">
                  <c:v>-136.68787710675272</c:v>
                </c:pt>
                <c:pt idx="318">
                  <c:v>-137.46658437288659</c:v>
                </c:pt>
                <c:pt idx="319">
                  <c:v>-138.24842481453146</c:v>
                </c:pt>
                <c:pt idx="320">
                  <c:v>-139.03312358568562</c:v>
                </c:pt>
                <c:pt idx="321">
                  <c:v>-139.8204063029518</c:v>
                </c:pt>
                <c:pt idx="322">
                  <c:v>-140.61000004864462</c:v>
                </c:pt>
                <c:pt idx="323">
                  <c:v>-141.40163438052227</c:v>
                </c:pt>
                <c:pt idx="324">
                  <c:v>-142.19504234241859</c:v>
                </c:pt>
                <c:pt idx="325">
                  <c:v>-142.98996147009998</c:v>
                </c:pt>
                <c:pt idx="326">
                  <c:v>-143.78613478681959</c:v>
                </c:pt>
                <c:pt idx="327">
                  <c:v>-144.58331178321171</c:v>
                </c:pt>
                <c:pt idx="328">
                  <c:v>-145.38124937646137</c:v>
                </c:pt>
                <c:pt idx="329">
                  <c:v>-146.17971284399141</c:v>
                </c:pt>
                <c:pt idx="330">
                  <c:v>-146.97847672729841</c:v>
                </c:pt>
                <c:pt idx="331">
                  <c:v>-147.77732570201283</c:v>
                </c:pt>
                <c:pt idx="332">
                  <c:v>-148.57605541071797</c:v>
                </c:pt>
                <c:pt idx="333">
                  <c:v>-149.37447325558807</c:v>
                </c:pt>
                <c:pt idx="334">
                  <c:v>-150.17239914843802</c:v>
                </c:pt>
                <c:pt idx="335">
                  <c:v>-150.96966621633885</c:v>
                </c:pt>
                <c:pt idx="336">
                  <c:v>-151.76612146150936</c:v>
                </c:pt>
                <c:pt idx="337">
                  <c:v>-152.56162637478624</c:v>
                </c:pt>
                <c:pt idx="338">
                  <c:v>-153.35605750251347</c:v>
                </c:pt>
                <c:pt idx="339">
                  <c:v>-154.14930696726393</c:v>
                </c:pt>
                <c:pt idx="340">
                  <c:v>-154.9412829433297</c:v>
                </c:pt>
                <c:pt idx="341">
                  <c:v>-155.73191008843091</c:v>
                </c:pt>
                <c:pt idx="342">
                  <c:v>-156.52112993356587</c:v>
                </c:pt>
                <c:pt idx="343">
                  <c:v>-157.30890123338278</c:v>
                </c:pt>
                <c:pt idx="344">
                  <c:v>-158.09520027985064</c:v>
                </c:pt>
                <c:pt idx="345">
                  <c:v>-158.88002118238759</c:v>
                </c:pt>
                <c:pt idx="346">
                  <c:v>-159.66337611793415</c:v>
                </c:pt>
                <c:pt idx="347">
                  <c:v>-160.44529555474526</c:v>
                </c:pt>
                <c:pt idx="348">
                  <c:v>-161.22582845393791</c:v>
                </c:pt>
                <c:pt idx="349">
                  <c:v>-162.00504245302992</c:v>
                </c:pt>
                <c:pt idx="350">
                  <c:v>-162.78302403588933</c:v>
                </c:pt>
                <c:pt idx="351">
                  <c:v>-163.55987869365171</c:v>
                </c:pt>
                <c:pt idx="352">
                  <c:v>-164.33573108126006</c:v>
                </c:pt>
                <c:pt idx="353">
                  <c:v>-165.11072517436347</c:v>
                </c:pt>
                <c:pt idx="354">
                  <c:v>-165.88502443135664</c:v>
                </c:pt>
                <c:pt idx="355">
                  <c:v>-166.65881196534548</c:v>
                </c:pt>
                <c:pt idx="356">
                  <c:v>-167.43229073084106</c:v>
                </c:pt>
                <c:pt idx="357">
                  <c:v>-168.20568372993387</c:v>
                </c:pt>
                <c:pt idx="358">
                  <c:v>-168.97923424266787</c:v>
                </c:pt>
                <c:pt idx="359">
                  <c:v>-169.75320608625512</c:v>
                </c:pt>
                <c:pt idx="360">
                  <c:v>-170.52788390769499</c:v>
                </c:pt>
                <c:pt idx="361">
                  <c:v>-171.30357351424792</c:v>
                </c:pt>
                <c:pt idx="362">
                  <c:v>-172.08060224609451</c:v>
                </c:pt>
                <c:pt idx="363">
                  <c:v>-172.85931939536275</c:v>
                </c:pt>
                <c:pt idx="364">
                  <c:v>-173.64009667553282</c:v>
                </c:pt>
                <c:pt idx="365">
                  <c:v>-174.42332874502608</c:v>
                </c:pt>
                <c:pt idx="366">
                  <c:v>-175.20943378855191</c:v>
                </c:pt>
                <c:pt idx="367">
                  <c:v>-175.9988541594949</c:v>
                </c:pt>
                <c:pt idx="368">
                  <c:v>-176.7920570862957</c:v>
                </c:pt>
                <c:pt idx="369">
                  <c:v>-177.58953544537161</c:v>
                </c:pt>
                <c:pt idx="370">
                  <c:v>-178.39180860263284</c:v>
                </c:pt>
                <c:pt idx="371">
                  <c:v>-179.19942332506588</c:v>
                </c:pt>
                <c:pt idx="372">
                  <c:v>179.98704523685902</c:v>
                </c:pt>
                <c:pt idx="373">
                  <c:v>179.16699249606728</c:v>
                </c:pt>
                <c:pt idx="374">
                  <c:v>178.33978330620096</c:v>
                </c:pt>
                <c:pt idx="375">
                  <c:v>177.50475077180698</c:v>
                </c:pt>
                <c:pt idx="376">
                  <c:v>176.66119499535429</c:v>
                </c:pt>
                <c:pt idx="377">
                  <c:v>175.80838176689016</c:v>
                </c:pt>
                <c:pt idx="378">
                  <c:v>174.94554120437911</c:v>
                </c:pt>
                <c:pt idx="379">
                  <c:v>174.07186635543744</c:v>
                </c:pt>
                <c:pt idx="380">
                  <c:v>173.18651177438537</c:v>
                </c:pt>
                <c:pt idx="381">
                  <c:v>172.28859209235307</c:v>
                </c:pt>
                <c:pt idx="382">
                  <c:v>171.37718060270743</c:v>
                </c:pt>
                <c:pt idx="383">
                  <c:v>170.45130788945167</c:v>
                </c:pt>
                <c:pt idx="384">
                  <c:v>169.50996053255793</c:v>
                </c:pt>
                <c:pt idx="385">
                  <c:v>168.55207993162998</c:v>
                </c:pt>
                <c:pt idx="386">
                  <c:v>167.5765612979377</c:v>
                </c:pt>
                <c:pt idx="387">
                  <c:v>166.58225287491871</c:v>
                </c:pt>
                <c:pt idx="388">
                  <c:v>165.56795545880644</c:v>
                </c:pt>
                <c:pt idx="389">
                  <c:v>164.53242230428279</c:v>
                </c:pt>
                <c:pt idx="390">
                  <c:v>163.47435951505892</c:v>
                </c:pt>
                <c:pt idx="391">
                  <c:v>162.39242703611893</c:v>
                </c:pt>
                <c:pt idx="392">
                  <c:v>161.28524038302859</c:v>
                </c:pt>
                <c:pt idx="393">
                  <c:v>160.15137326408083</c:v>
                </c:pt>
                <c:pt idx="394">
                  <c:v>158.9893612728838</c:v>
                </c:pt>
                <c:pt idx="395">
                  <c:v>157.79770685181691</c:v>
                </c:pt>
                <c:pt idx="396">
                  <c:v>156.57488574988417</c:v>
                </c:pt>
                <c:pt idx="397">
                  <c:v>155.3193552207876</c:v>
                </c:pt>
                <c:pt idx="398">
                  <c:v>154.02956422704136</c:v>
                </c:pt>
                <c:pt idx="399">
                  <c:v>152.70396593161252</c:v>
                </c:pt>
                <c:pt idx="400">
                  <c:v>151.34103276727424</c:v>
                </c:pt>
                <c:pt idx="401">
                  <c:v>149.93927437222797</c:v>
                </c:pt>
                <c:pt idx="402">
                  <c:v>148.4972586645373</c:v>
                </c:pt>
                <c:pt idx="403">
                  <c:v>147.01363629271961</c:v>
                </c:pt>
                <c:pt idx="404">
                  <c:v>145.48716864005019</c:v>
                </c:pt>
                <c:pt idx="405">
                  <c:v>143.91675947004373</c:v>
                </c:pt>
                <c:pt idx="406">
                  <c:v>142.30149017454141</c:v>
                </c:pt>
                <c:pt idx="407">
                  <c:v>140.64065841907259</c:v>
                </c:pt>
                <c:pt idx="408">
                  <c:v>138.93381976959165</c:v>
                </c:pt>
                <c:pt idx="409">
                  <c:v>137.18083163030749</c:v>
                </c:pt>
                <c:pt idx="410">
                  <c:v>135.38189852848535</c:v>
                </c:pt>
                <c:pt idx="411">
                  <c:v>133.53761745917939</c:v>
                </c:pt>
                <c:pt idx="412">
                  <c:v>131.64902166852036</c:v>
                </c:pt>
                <c:pt idx="413">
                  <c:v>129.717620934248</c:v>
                </c:pt>
                <c:pt idx="414">
                  <c:v>127.74543613048235</c:v>
                </c:pt>
                <c:pt idx="415">
                  <c:v>125.7350256806117</c:v>
                </c:pt>
                <c:pt idx="416">
                  <c:v>123.68950145101292</c:v>
                </c:pt>
                <c:pt idx="417">
                  <c:v>121.61253176035427</c:v>
                </c:pt>
                <c:pt idx="418">
                  <c:v>119.50832950645059</c:v>
                </c:pt>
                <c:pt idx="419">
                  <c:v>117.38162396003688</c:v>
                </c:pt>
                <c:pt idx="420">
                  <c:v>115.23761553323079</c:v>
                </c:pt>
                <c:pt idx="421">
                  <c:v>113.08191376149021</c:v>
                </c:pt>
                <c:pt idx="422">
                  <c:v>110.92045977359494</c:v>
                </c:pt>
                <c:pt idx="423">
                  <c:v>108.75943557156801</c:v>
                </c:pt>
                <c:pt idx="424">
                  <c:v>106.6051633943639</c:v>
                </c:pt>
                <c:pt idx="425">
                  <c:v>104.46399918880756</c:v>
                </c:pt>
                <c:pt idx="426">
                  <c:v>102.34222466966031</c:v>
                </c:pt>
                <c:pt idx="427">
                  <c:v>100.24594256121622</c:v>
                </c:pt>
                <c:pt idx="428">
                  <c:v>98.180979361647857</c:v>
                </c:pt>
                <c:pt idx="429">
                  <c:v>96.152799389829354</c:v>
                </c:pt>
                <c:pt idx="430">
                  <c:v>94.166433033407671</c:v>
                </c:pt>
                <c:pt idx="431">
                  <c:v>92.226421114362495</c:v>
                </c:pt>
                <c:pt idx="432">
                  <c:v>90.336776233282464</c:v>
                </c:pt>
                <c:pt idx="433">
                  <c:v>88.500960949016644</c:v>
                </c:pt>
                <c:pt idx="434">
                  <c:v>86.721881780638711</c:v>
                </c:pt>
                <c:pt idx="435">
                  <c:v>85.001897340157683</c:v>
                </c:pt>
                <c:pt idx="436">
                  <c:v>83.34283844383279</c:v>
                </c:pt>
                <c:pt idx="437">
                  <c:v>81.746037806204598</c:v>
                </c:pt>
                <c:pt idx="438">
                  <c:v>80.212366871407141</c:v>
                </c:pt>
                <c:pt idx="439">
                  <c:v>78.742277444502363</c:v>
                </c:pt>
                <c:pt idx="440">
                  <c:v>77.335846008624358</c:v>
                </c:pt>
                <c:pt idx="441">
                  <c:v>75.992818908901143</c:v>
                </c:pt>
                <c:pt idx="442">
                  <c:v>74.712656913416893</c:v>
                </c:pt>
                <c:pt idx="443">
                  <c:v>73.494577994017106</c:v>
                </c:pt>
                <c:pt idx="444">
                  <c:v>72.33759748305917</c:v>
                </c:pt>
                <c:pt idx="445">
                  <c:v>71.24056504152729</c:v>
                </c:pt>
                <c:pt idx="446">
                  <c:v>70.202198111493914</c:v>
                </c:pt>
                <c:pt idx="447">
                  <c:v>69.221111719189921</c:v>
                </c:pt>
                <c:pt idx="448">
                  <c:v>68.29584464538793</c:v>
                </c:pt>
                <c:pt idx="449">
                  <c:v>67.424882091208445</c:v>
                </c:pt>
                <c:pt idx="450">
                  <c:v>66.606675045136313</c:v>
                </c:pt>
                <c:pt idx="451">
                  <c:v>65.839656606620537</c:v>
                </c:pt>
                <c:pt idx="452">
                  <c:v>65.122255548851953</c:v>
                </c:pt>
                <c:pt idx="453">
                  <c:v>64.452907413288401</c:v>
                </c:pt>
                <c:pt idx="454">
                  <c:v>63.830063425765694</c:v>
                </c:pt>
                <c:pt idx="455">
                  <c:v>63.252197512401892</c:v>
                </c:pt>
                <c:pt idx="456">
                  <c:v>62.717811675979419</c:v>
                </c:pt>
                <c:pt idx="457">
                  <c:v>62.225439972514657</c:v>
                </c:pt>
                <c:pt idx="458">
                  <c:v>61.773651305079078</c:v>
                </c:pt>
                <c:pt idx="459">
                  <c:v>61.361051228940262</c:v>
                </c:pt>
                <c:pt idx="460">
                  <c:v>60.986282939674389</c:v>
                </c:pt>
                <c:pt idx="461">
                  <c:v>60.648027594669394</c:v>
                </c:pt>
                <c:pt idx="462">
                  <c:v>60.345004098757819</c:v>
                </c:pt>
                <c:pt idx="463">
                  <c:v>60.075968466786819</c:v>
                </c:pt>
                <c:pt idx="464">
                  <c:v>59.839712859806994</c:v>
                </c:pt>
                <c:pt idx="465">
                  <c:v>59.635064377221347</c:v>
                </c:pt>
                <c:pt idx="466">
                  <c:v>59.460883674595948</c:v>
                </c:pt>
                <c:pt idx="467">
                  <c:v>59.316063465760152</c:v>
                </c:pt>
                <c:pt idx="468">
                  <c:v>59.199526958207151</c:v>
                </c:pt>
                <c:pt idx="469">
                  <c:v>59.110226262449309</c:v>
                </c:pt>
                <c:pt idx="470">
                  <c:v>59.047140808802176</c:v>
                </c:pt>
                <c:pt idx="471">
                  <c:v>59.00927579885861</c:v>
                </c:pt>
                <c:pt idx="472">
                  <c:v>58.995660713600351</c:v>
                </c:pt>
                <c:pt idx="473">
                  <c:v>59.00534789551314</c:v>
                </c:pt>
                <c:pt idx="474">
                  <c:v>59.037411218156123</c:v>
                </c:pt>
                <c:pt idx="475">
                  <c:v>59.090944853244572</c:v>
                </c:pt>
                <c:pt idx="476">
                  <c:v>59.165062142428916</c:v>
                </c:pt>
                <c:pt idx="477">
                  <c:v>59.258894578426585</c:v>
                </c:pt>
                <c:pt idx="478">
                  <c:v>59.371590898025488</c:v>
                </c:pt>
                <c:pt idx="479">
                  <c:v>59.502316287606519</c:v>
                </c:pt>
                <c:pt idx="480">
                  <c:v>59.650251700223656</c:v>
                </c:pt>
                <c:pt idx="481">
                  <c:v>59.814593281885486</c:v>
                </c:pt>
                <c:pt idx="482">
                  <c:v>59.994551903484087</c:v>
                </c:pt>
                <c:pt idx="483">
                  <c:v>60.189352793786796</c:v>
                </c:pt>
                <c:pt idx="484">
                  <c:v>60.398235268023029</c:v>
                </c:pt>
                <c:pt idx="485">
                  <c:v>60.620452545865383</c:v>
                </c:pt>
                <c:pt idx="486">
                  <c:v>60.855271651990996</c:v>
                </c:pt>
                <c:pt idx="487">
                  <c:v>61.101973391917035</c:v>
                </c:pt>
                <c:pt idx="488">
                  <c:v>61.359852395432597</c:v>
                </c:pt>
                <c:pt idx="489">
                  <c:v>61.628217219675079</c:v>
                </c:pt>
                <c:pt idx="490">
                  <c:v>61.906390503739296</c:v>
                </c:pt>
                <c:pt idx="491">
                  <c:v>62.193709166637895</c:v>
                </c:pt>
                <c:pt idx="492">
                  <c:v>62.489524640457034</c:v>
                </c:pt>
                <c:pt idx="493">
                  <c:v>62.793203130674293</c:v>
                </c:pt>
                <c:pt idx="494">
                  <c:v>63.104125895793487</c:v>
                </c:pt>
                <c:pt idx="495">
                  <c:v>63.421689538738988</c:v>
                </c:pt>
                <c:pt idx="496">
                  <c:v>63.745306302790475</c:v>
                </c:pt>
                <c:pt idx="497">
                  <c:v>64.074404365247389</c:v>
                </c:pt>
                <c:pt idx="498">
                  <c:v>64.408428122486995</c:v>
                </c:pt>
                <c:pt idx="499">
                  <c:v>64.746838460576612</c:v>
                </c:pt>
                <c:pt idx="500">
                  <c:v>65.089113006160716</c:v>
                </c:pt>
                <c:pt idx="501">
                  <c:v>65.434746352913834</c:v>
                </c:pt>
                <c:pt idx="502">
                  <c:v>65.783250259450213</c:v>
                </c:pt>
                <c:pt idx="503">
                  <c:v>66.134153815190587</c:v>
                </c:pt>
                <c:pt idx="504">
                  <c:v>66.487003571289421</c:v>
                </c:pt>
                <c:pt idx="505">
                  <c:v>66.841363634342073</c:v>
                </c:pt>
                <c:pt idx="506">
                  <c:v>67.196815721162849</c:v>
                </c:pt>
                <c:pt idx="507">
                  <c:v>67.552959173513116</c:v>
                </c:pt>
                <c:pt idx="508">
                  <c:v>67.909410932187171</c:v>
                </c:pt>
                <c:pt idx="509">
                  <c:v>68.26580547037203</c:v>
                </c:pt>
                <c:pt idx="510">
                  <c:v>68.621794686678484</c:v>
                </c:pt>
                <c:pt idx="511">
                  <c:v>68.977047758660447</c:v>
                </c:pt>
                <c:pt idx="512">
                  <c:v>69.331250958034886</c:v>
                </c:pt>
                <c:pt idx="513">
                  <c:v>69.684107429149336</c:v>
                </c:pt>
                <c:pt idx="514">
                  <c:v>70.035336932547978</c:v>
                </c:pt>
                <c:pt idx="515">
                  <c:v>70.384675555729757</c:v>
                </c:pt>
                <c:pt idx="516">
                  <c:v>70.731875393402703</c:v>
                </c:pt>
                <c:pt idx="517">
                  <c:v>71.07670419969206</c:v>
                </c:pt>
                <c:pt idx="518">
                  <c:v>71.418945014889502</c:v>
                </c:pt>
                <c:pt idx="519">
                  <c:v>71.758395769393147</c:v>
                </c:pt>
                <c:pt idx="520">
                  <c:v>72.094868867546253</c:v>
                </c:pt>
                <c:pt idx="521">
                  <c:v>72.428190754078059</c:v>
                </c:pt>
                <c:pt idx="522">
                  <c:v>72.758201465835185</c:v>
                </c:pt>
                <c:pt idx="523">
                  <c:v>73.084754171436231</c:v>
                </c:pt>
                <c:pt idx="524">
                  <c:v>73.407714701411876</c:v>
                </c:pt>
                <c:pt idx="525">
                  <c:v>73.726961071299527</c:v>
                </c:pt>
                <c:pt idx="526">
                  <c:v>74.042383000041099</c:v>
                </c:pt>
                <c:pt idx="527">
                  <c:v>74.35388142592555</c:v>
                </c:pt>
                <c:pt idx="528">
                  <c:v>74.661368022158911</c:v>
                </c:pt>
                <c:pt idx="529">
                  <c:v>74.964764714020546</c:v>
                </c:pt>
                <c:pt idx="530">
                  <c:v>75.264003199402623</c:v>
                </c:pt>
                <c:pt idx="531">
                  <c:v>75.559024474381559</c:v>
                </c:pt>
                <c:pt idx="532">
                  <c:v>75.849778365318272</c:v>
                </c:pt>
                <c:pt idx="533">
                  <c:v>76.136223068829437</c:v>
                </c:pt>
                <c:pt idx="534">
                  <c:v>76.418324700821657</c:v>
                </c:pt>
                <c:pt idx="535">
                  <c:v>76.696056855639014</c:v>
                </c:pt>
                <c:pt idx="536">
                  <c:v>76.969400176227765</c:v>
                </c:pt>
                <c:pt idx="537">
                  <c:v>77.23834193609332</c:v>
                </c:pt>
                <c:pt idx="538">
                  <c:v>77.502875633693591</c:v>
                </c:pt>
                <c:pt idx="539">
                  <c:v>77.763000599792065</c:v>
                </c:pt>
                <c:pt idx="540">
                  <c:v>78.018721618184358</c:v>
                </c:pt>
                <c:pt idx="541">
                  <c:v>78.27004856010636</c:v>
                </c:pt>
              </c:numCache>
            </c:numRef>
          </c:yVal>
          <c:smooth val="1"/>
          <c:extLst>
            <c:ext xmlns:c16="http://schemas.microsoft.com/office/drawing/2014/chart" uri="{C3380CC4-5D6E-409C-BE32-E72D297353CC}">
              <c16:uniqueId val="{00000001-99B5-4BE4-980F-77A3170EB8F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19.007478106385339</c:v>
                </c:pt>
                <c:pt idx="1">
                  <c:v>18.807535037746948</c:v>
                </c:pt>
                <c:pt idx="2">
                  <c:v>18.60759465139768</c:v>
                </c:pt>
                <c:pt idx="3">
                  <c:v>18.407657073672389</c:v>
                </c:pt>
                <c:pt idx="4">
                  <c:v>18.20772243685256</c:v>
                </c:pt>
                <c:pt idx="5">
                  <c:v>18.007790879445615</c:v>
                </c:pt>
                <c:pt idx="6">
                  <c:v>17.80786254647769</c:v>
                </c:pt>
                <c:pt idx="7">
                  <c:v>17.60793758979996</c:v>
                </c:pt>
                <c:pt idx="8">
                  <c:v>17.408016168409286</c:v>
                </c:pt>
                <c:pt idx="9">
                  <c:v>17.208098448784089</c:v>
                </c:pt>
                <c:pt idx="10">
                  <c:v>17.008184605235506</c:v>
                </c:pt>
                <c:pt idx="11">
                  <c:v>16.808274820275692</c:v>
                </c:pt>
                <c:pt idx="12">
                  <c:v>16.608369285002578</c:v>
                </c:pt>
                <c:pt idx="13">
                  <c:v>16.408468199503172</c:v>
                </c:pt>
                <c:pt idx="14">
                  <c:v>16.208571773275683</c:v>
                </c:pt>
                <c:pt idx="15">
                  <c:v>16.008680225670918</c:v>
                </c:pt>
                <c:pt idx="16">
                  <c:v>15.808793786354997</c:v>
                </c:pt>
                <c:pt idx="17">
                  <c:v>15.608912695793</c:v>
                </c:pt>
                <c:pt idx="18">
                  <c:v>15.40903720575583</c:v>
                </c:pt>
                <c:pt idx="19">
                  <c:v>15.209167579850163</c:v>
                </c:pt>
                <c:pt idx="20">
                  <c:v>15.009304094073562</c:v>
                </c:pt>
                <c:pt idx="21">
                  <c:v>14.809447037395309</c:v>
                </c:pt>
                <c:pt idx="22">
                  <c:v>14.609596712364164</c:v>
                </c:pt>
                <c:pt idx="23">
                  <c:v>14.409753435744712</c:v>
                </c:pt>
                <c:pt idx="24">
                  <c:v>14.20991753918303</c:v>
                </c:pt>
                <c:pt idx="25">
                  <c:v>14.01008936990387</c:v>
                </c:pt>
                <c:pt idx="26">
                  <c:v>13.81026929143934</c:v>
                </c:pt>
                <c:pt idx="27">
                  <c:v>13.610457684392562</c:v>
                </c:pt>
                <c:pt idx="28">
                  <c:v>13.410654947235805</c:v>
                </c:pt>
                <c:pt idx="29">
                  <c:v>13.210861497146402</c:v>
                </c:pt>
                <c:pt idx="30">
                  <c:v>13.011077770880862</c:v>
                </c:pt>
                <c:pt idx="31">
                  <c:v>12.811304225689975</c:v>
                </c:pt>
                <c:pt idx="32">
                  <c:v>12.611541340275904</c:v>
                </c:pt>
                <c:pt idx="33">
                  <c:v>12.41178961579373</c:v>
                </c:pt>
                <c:pt idx="34">
                  <c:v>12.212049576899464</c:v>
                </c:pt>
                <c:pt idx="35">
                  <c:v>12.012321772845947</c:v>
                </c:pt>
                <c:pt idx="36">
                  <c:v>11.812606778629943</c:v>
                </c:pt>
                <c:pt idx="37">
                  <c:v>11.612905196191575</c:v>
                </c:pt>
                <c:pt idx="38">
                  <c:v>11.413217655669293</c:v>
                </c:pt>
                <c:pt idx="39">
                  <c:v>11.213544816712311</c:v>
                </c:pt>
                <c:pt idx="40">
                  <c:v>11.013887369853716</c:v>
                </c:pt>
                <c:pt idx="41">
                  <c:v>10.81424603794623</c:v>
                </c:pt>
                <c:pt idx="42">
                  <c:v>10.614621577663534</c:v>
                </c:pt>
                <c:pt idx="43">
                  <c:v>10.415014781071022</c:v>
                </c:pt>
                <c:pt idx="44">
                  <c:v>10.215426477267734</c:v>
                </c:pt>
                <c:pt idx="45">
                  <c:v>10.015857534103201</c:v>
                </c:pt>
                <c:pt idx="46">
                  <c:v>9.8163088599728141</c:v>
                </c:pt>
                <c:pt idx="47">
                  <c:v>9.6167814056946082</c:v>
                </c:pt>
                <c:pt idx="48">
                  <c:v>9.4172761664711189</c:v>
                </c:pt>
                <c:pt idx="49">
                  <c:v>9.2177941839404678</c:v>
                </c:pt>
                <c:pt idx="50">
                  <c:v>9.0183365483200149</c:v>
                </c:pt>
                <c:pt idx="51">
                  <c:v>8.8189044006466766</c:v>
                </c:pt>
                <c:pt idx="52">
                  <c:v>8.6194989351181004</c:v>
                </c:pt>
                <c:pt idx="53">
                  <c:v>8.4201214015395678</c:v>
                </c:pt>
                <c:pt idx="54">
                  <c:v>8.2207731078797082</c:v>
                </c:pt>
                <c:pt idx="55">
                  <c:v>8.021455422941294</c:v>
                </c:pt>
                <c:pt idx="56">
                  <c:v>7.8221697791507481</c:v>
                </c:pt>
                <c:pt idx="57">
                  <c:v>7.6229176754718955</c:v>
                </c:pt>
                <c:pt idx="58">
                  <c:v>7.4237006804488539</c:v>
                </c:pt>
                <c:pt idx="59">
                  <c:v>7.2245204353834014</c:v>
                </c:pt>
                <c:pt idx="60">
                  <c:v>7.0253786576529116</c:v>
                </c:pt>
                <c:pt idx="61">
                  <c:v>6.8262771441732264</c:v>
                </c:pt>
                <c:pt idx="62">
                  <c:v>6.6272177750141603</c:v>
                </c:pt>
                <c:pt idx="63">
                  <c:v>6.4282025171715791</c:v>
                </c:pt>
                <c:pt idx="64">
                  <c:v>6.2292334285042914</c:v>
                </c:pt>
                <c:pt idx="65">
                  <c:v>6.0303126618409326</c:v>
                </c:pt>
                <c:pt idx="66">
                  <c:v>5.8314424692637798</c:v>
                </c:pt>
                <c:pt idx="67">
                  <c:v>5.6326252065760842</c:v>
                </c:pt>
                <c:pt idx="68">
                  <c:v>5.4338633379606414</c:v>
                </c:pt>
                <c:pt idx="69">
                  <c:v>5.2351594408356528</c:v>
                </c:pt>
                <c:pt idx="70">
                  <c:v>5.0365162109158312</c:v>
                </c:pt>
                <c:pt idx="71">
                  <c:v>4.8379364674862249</c:v>
                </c:pt>
                <c:pt idx="72">
                  <c:v>4.639423158895724</c:v>
                </c:pt>
                <c:pt idx="73">
                  <c:v>4.440979368279045</c:v>
                </c:pt>
                <c:pt idx="74">
                  <c:v>4.2426083195141686</c:v>
                </c:pt>
                <c:pt idx="75">
                  <c:v>4.0443133834231402</c:v>
                </c:pt>
                <c:pt idx="76">
                  <c:v>3.8460980842253139</c:v>
                </c:pt>
                <c:pt idx="77">
                  <c:v>3.6479661062499735</c:v>
                </c:pt>
                <c:pt idx="78">
                  <c:v>3.4499213009171226</c:v>
                </c:pt>
                <c:pt idx="79">
                  <c:v>3.2519676939949029</c:v>
                </c:pt>
                <c:pt idx="80">
                  <c:v>3.0541094931407242</c:v>
                </c:pt>
                <c:pt idx="81">
                  <c:v>2.8563510957358531</c:v>
                </c:pt>
                <c:pt idx="82">
                  <c:v>2.6586970970201076</c:v>
                </c:pt>
                <c:pt idx="83">
                  <c:v>2.461152298535374</c:v>
                </c:pt>
                <c:pt idx="84">
                  <c:v>2.26372171688547</c:v>
                </c:pt>
                <c:pt idx="85">
                  <c:v>2.0664105928198975</c:v>
                </c:pt>
                <c:pt idx="86">
                  <c:v>1.8692244006488234</c:v>
                </c:pt>
                <c:pt idx="87">
                  <c:v>1.6721688579960516</c:v>
                </c:pt>
                <c:pt idx="88">
                  <c:v>1.4752499358967905</c:v>
                </c:pt>
                <c:pt idx="89">
                  <c:v>1.2784738692458553</c:v>
                </c:pt>
                <c:pt idx="90">
                  <c:v>1.081847167601615</c:v>
                </c:pt>
                <c:pt idx="91">
                  <c:v>0.8853766263510523</c:v>
                </c:pt>
                <c:pt idx="92">
                  <c:v>0.68906933823913996</c:v>
                </c:pt>
                <c:pt idx="93">
                  <c:v>0.49293270526581334</c:v>
                </c:pt>
                <c:pt idx="94">
                  <c:v>0.29697445095286817</c:v>
                </c:pt>
                <c:pt idx="95">
                  <c:v>0.10120263298127571</c:v>
                </c:pt>
                <c:pt idx="96">
                  <c:v>-9.4374343801997662E-2</c:v>
                </c:pt>
                <c:pt idx="97">
                  <c:v>-0.28974771400766902</c:v>
                </c:pt>
                <c:pt idx="98">
                  <c:v>-0.48490833796499444</c:v>
                </c:pt>
                <c:pt idx="99">
                  <c:v>-0.67984668762179801</c:v>
                </c:pt>
                <c:pt idx="100">
                  <c:v>-0.87455283209322499</c:v>
                </c:pt>
                <c:pt idx="101">
                  <c:v>-1.069016422868214</c:v>
                </c:pt>
                <c:pt idx="102">
                  <c:v>-1.2632266786849147</c:v>
                </c:pt>
                <c:pt idx="103">
                  <c:v>-1.4571723700907921</c:v>
                </c:pt>
                <c:pt idx="104">
                  <c:v>-1.6508418037039205</c:v>
                </c:pt>
                <c:pt idx="105">
                  <c:v>-1.8442228061969903</c:v>
                </c:pt>
                <c:pt idx="106">
                  <c:v>-2.0373027080274815</c:v>
                </c:pt>
                <c:pt idx="107">
                  <c:v>-2.2300683269420749</c:v>
                </c:pt>
                <c:pt idx="108">
                  <c:v>-2.4225059512873752</c:v>
                </c:pt>
                <c:pt idx="109">
                  <c:v>-2.6146013231627863</c:v>
                </c:pt>
                <c:pt idx="110">
                  <c:v>-2.8063396214566749</c:v>
                </c:pt>
                <c:pt idx="111">
                  <c:v>-2.9977054448113929</c:v>
                </c:pt>
                <c:pt idx="112">
                  <c:v>-3.1886827945682801</c:v>
                </c:pt>
                <c:pt idx="113">
                  <c:v>-3.3792550577502749</c:v>
                </c:pt>
                <c:pt idx="114">
                  <c:v>-3.569404990143243</c:v>
                </c:pt>
                <c:pt idx="115">
                  <c:v>-3.759114699547073</c:v>
                </c:pt>
                <c:pt idx="116">
                  <c:v>-3.9483656292709086</c:v>
                </c:pt>
                <c:pt idx="117">
                  <c:v>-4.1371385419561406</c:v>
                </c:pt>
                <c:pt idx="118">
                  <c:v>-4.3254135038169048</c:v>
                </c:pt>
                <c:pt idx="119">
                  <c:v>-4.5131698693959263</c:v>
                </c:pt>
                <c:pt idx="120">
                  <c:v>-4.7003862669410044</c:v>
                </c:pt>
                <c:pt idx="121">
                  <c:v>-4.887040584516452</c:v>
                </c:pt>
                <c:pt idx="122">
                  <c:v>-5.0731099569703275</c:v>
                </c:pt>
                <c:pt idx="123">
                  <c:v>-5.2585707538886295</c:v>
                </c:pt>
                <c:pt idx="124">
                  <c:v>-5.4433985686748017</c:v>
                </c:pt>
                <c:pt idx="125">
                  <c:v>-5.6275682089014563</c:v>
                </c:pt>
                <c:pt idx="126">
                  <c:v>-5.8110536880905572</c:v>
                </c:pt>
                <c:pt idx="127">
                  <c:v>-5.9938282190848522</c:v>
                </c:pt>
                <c:pt idx="128">
                  <c:v>-6.1758642091829419</c:v>
                </c:pt>
                <c:pt idx="129">
                  <c:v>-6.3571332572166064</c:v>
                </c:pt>
                <c:pt idx="130">
                  <c:v>-6.5376061527564708</c:v>
                </c:pt>
                <c:pt idx="131">
                  <c:v>-6.7172528776385043</c:v>
                </c:pt>
                <c:pt idx="132">
                  <c:v>-6.8960426100088004</c:v>
                </c:pt>
                <c:pt idx="133">
                  <c:v>-7.0739437310884901</c:v>
                </c:pt>
                <c:pt idx="134">
                  <c:v>-7.2509238348650227</c:v>
                </c:pt>
                <c:pt idx="135">
                  <c:v>-7.4269497409154548</c:v>
                </c:pt>
                <c:pt idx="136">
                  <c:v>-7.6019875105703143</c:v>
                </c:pt>
                <c:pt idx="137">
                  <c:v>-7.7760024666229564</c:v>
                </c:pt>
                <c:pt idx="138">
                  <c:v>-7.9489592167866618</c:v>
                </c:pt>
                <c:pt idx="139">
                  <c:v>-8.120821681096043</c:v>
                </c:pt>
                <c:pt idx="140">
                  <c:v>-8.2915531234402096</c:v>
                </c:pt>
                <c:pt idx="141">
                  <c:v>-8.4611161874049312</c:v>
                </c:pt>
                <c:pt idx="142">
                  <c:v>-8.6294729365872769</c:v>
                </c:pt>
                <c:pt idx="143">
                  <c:v>-8.7965848995289857</c:v>
                </c:pt>
                <c:pt idx="144">
                  <c:v>-8.9624131193948955</c:v>
                </c:pt>
                <c:pt idx="145">
                  <c:v>-9.1269182085004239</c:v>
                </c:pt>
                <c:pt idx="146">
                  <c:v>-9.2900604077640399</c:v>
                </c:pt>
                <c:pt idx="147">
                  <c:v>-9.4517996511317151</c:v>
                </c:pt>
                <c:pt idx="148">
                  <c:v>-9.6120956349864723</c:v>
                </c:pt>
                <c:pt idx="149">
                  <c:v>-9.7709078925198227</c:v>
                </c:pt>
                <c:pt idx="150">
                  <c:v>-9.9281958730001936</c:v>
                </c:pt>
                <c:pt idx="151">
                  <c:v>-10.083919025832934</c:v>
                </c:pt>
                <c:pt idx="152">
                  <c:v>-10.238036889258606</c:v>
                </c:pt>
                <c:pt idx="153">
                  <c:v>-10.390509183488021</c:v>
                </c:pt>
                <c:pt idx="154">
                  <c:v>-10.541295908023528</c:v>
                </c:pt>
                <c:pt idx="155">
                  <c:v>-10.690357442863284</c:v>
                </c:pt>
                <c:pt idx="156">
                  <c:v>-10.837654653231981</c:v>
                </c:pt>
                <c:pt idx="157">
                  <c:v>-10.98314899742957</c:v>
                </c:pt>
                <c:pt idx="158">
                  <c:v>-11.126802637336867</c:v>
                </c:pt>
                <c:pt idx="159">
                  <c:v>-11.268578551064312</c:v>
                </c:pt>
                <c:pt idx="160">
                  <c:v>-11.408440647182969</c:v>
                </c:pt>
                <c:pt idx="161">
                  <c:v>-11.546353879929413</c:v>
                </c:pt>
                <c:pt idx="162">
                  <c:v>-11.682284364734002</c:v>
                </c:pt>
                <c:pt idx="163">
                  <c:v>-11.816199493384634</c:v>
                </c:pt>
                <c:pt idx="164">
                  <c:v>-11.948068048107093</c:v>
                </c:pt>
                <c:pt idx="165">
                  <c:v>-12.07786031381678</c:v>
                </c:pt>
                <c:pt idx="166">
                  <c:v>-12.205548187778973</c:v>
                </c:pt>
                <c:pt idx="167">
                  <c:v>-12.331105285905648</c:v>
                </c:pt>
                <c:pt idx="168">
                  <c:v>-12.454507044914344</c:v>
                </c:pt>
                <c:pt idx="169">
                  <c:v>-12.575730819584528</c:v>
                </c:pt>
                <c:pt idx="170">
                  <c:v>-12.694755974361463</c:v>
                </c:pt>
                <c:pt idx="171">
                  <c:v>-12.811563968587084</c:v>
                </c:pt>
                <c:pt idx="172">
                  <c:v>-12.926138434672563</c:v>
                </c:pt>
                <c:pt idx="173">
                  <c:v>-13.038465248572738</c:v>
                </c:pt>
                <c:pt idx="174">
                  <c:v>-13.148532591978949</c:v>
                </c:pt>
                <c:pt idx="175">
                  <c:v>-13.25633100570826</c:v>
                </c:pt>
                <c:pt idx="176">
                  <c:v>-13.361853433839869</c:v>
                </c:pt>
                <c:pt idx="177">
                  <c:v>-13.465095258224659</c:v>
                </c:pt>
                <c:pt idx="178">
                  <c:v>-13.566054323079946</c:v>
                </c:pt>
                <c:pt idx="179">
                  <c:v>-13.664730949467049</c:v>
                </c:pt>
                <c:pt idx="180">
                  <c:v>-13.76112793954106</c:v>
                </c:pt>
                <c:pt idx="181">
                  <c:v>-13.85525057055472</c:v>
                </c:pt>
                <c:pt idx="182">
                  <c:v>-13.947106578690875</c:v>
                </c:pt>
                <c:pt idx="183">
                  <c:v>-14.036706132890775</c:v>
                </c:pt>
                <c:pt idx="184">
                  <c:v>-14.1240617989339</c:v>
                </c:pt>
                <c:pt idx="185">
                  <c:v>-14.209188494110487</c:v>
                </c:pt>
                <c:pt idx="186">
                  <c:v>-14.292103432909267</c:v>
                </c:pt>
                <c:pt idx="187">
                  <c:v>-14.372826064217017</c:v>
                </c:pt>
                <c:pt idx="188">
                  <c:v>-14.451378000591342</c:v>
                </c:pt>
                <c:pt idx="189">
                  <c:v>-14.527782940231049</c:v>
                </c:pt>
                <c:pt idx="190">
                  <c:v>-14.602066582314343</c:v>
                </c:pt>
                <c:pt idx="191">
                  <c:v>-14.674256536419731</c:v>
                </c:pt>
                <c:pt idx="192">
                  <c:v>-14.744382226772739</c:v>
                </c:pt>
                <c:pt idx="193">
                  <c:v>-14.812474792086221</c:v>
                </c:pt>
                <c:pt idx="194">
                  <c:v>-14.878566981772646</c:v>
                </c:pt>
                <c:pt idx="195">
                  <c:v>-14.942693049309925</c:v>
                </c:pt>
                <c:pt idx="196">
                  <c:v>-15.004888643538351</c:v>
                </c:pt>
                <c:pt idx="197">
                  <c:v>-15.065190698648795</c:v>
                </c:pt>
                <c:pt idx="198">
                  <c:v>-15.12363732360428</c:v>
                </c:pt>
                <c:pt idx="199">
                  <c:v>-15.180267691705225</c:v>
                </c:pt>
                <c:pt idx="200">
                  <c:v>-15.235121930975488</c:v>
                </c:pt>
                <c:pt idx="201">
                  <c:v>-15.288241016006756</c:v>
                </c:pt>
                <c:pt idx="202">
                  <c:v>-15.33966666185211</c:v>
                </c:pt>
                <c:pt idx="203">
                  <c:v>-15.389441220514763</c:v>
                </c:pt>
                <c:pt idx="204">
                  <c:v>-15.437607580525523</c:v>
                </c:pt>
                <c:pt idx="205">
                  <c:v>-15.484209070052028</c:v>
                </c:pt>
                <c:pt idx="206">
                  <c:v>-15.529289363928099</c:v>
                </c:pt>
                <c:pt idx="207">
                  <c:v>-15.572892394941871</c:v>
                </c:pt>
                <c:pt idx="208">
                  <c:v>-15.615062269664751</c:v>
                </c:pt>
                <c:pt idx="209">
                  <c:v>-15.655843189057045</c:v>
                </c:pt>
                <c:pt idx="210">
                  <c:v>-15.695279374032252</c:v>
                </c:pt>
                <c:pt idx="211">
                  <c:v>-15.733414996118606</c:v>
                </c:pt>
                <c:pt idx="212">
                  <c:v>-15.770294113309379</c:v>
                </c:pt>
                <c:pt idx="213">
                  <c:v>-15.805960611154347</c:v>
                </c:pt>
                <c:pt idx="214">
                  <c:v>-15.840458149103277</c:v>
                </c:pt>
                <c:pt idx="215">
                  <c:v>-15.873830112080947</c:v>
                </c:pt>
                <c:pt idx="216">
                  <c:v>-15.906119567237855</c:v>
                </c:pt>
                <c:pt idx="217">
                  <c:v>-15.937369225794729</c:v>
                </c:pt>
                <c:pt idx="218">
                  <c:v>-15.967621409873384</c:v>
                </c:pt>
                <c:pt idx="219">
                  <c:v>-15.996918024183636</c:v>
                </c:pt>
                <c:pt idx="220">
                  <c:v>-16.025300532418917</c:v>
                </c:pt>
                <c:pt idx="221">
                  <c:v>-16.052809938197278</c:v>
                </c:pt>
                <c:pt idx="222">
                  <c:v>-16.079486770370451</c:v>
                </c:pt>
                <c:pt idx="223">
                  <c:v>-16.105371072515531</c:v>
                </c:pt>
                <c:pt idx="224">
                  <c:v>-16.130502396415306</c:v>
                </c:pt>
                <c:pt idx="225">
                  <c:v>-16.154919799327011</c:v>
                </c:pt>
                <c:pt idx="226">
                  <c:v>-16.178661844837997</c:v>
                </c:pt>
                <c:pt idx="227">
                  <c:v>-16.201766607103224</c:v>
                </c:pt>
                <c:pt idx="228">
                  <c:v>-16.224271678260585</c:v>
                </c:pt>
                <c:pt idx="229">
                  <c:v>-16.246214178820686</c:v>
                </c:pt>
                <c:pt idx="230">
                  <c:v>-16.267630770831659</c:v>
                </c:pt>
                <c:pt idx="231">
                  <c:v>-16.288557673619867</c:v>
                </c:pt>
                <c:pt idx="232">
                  <c:v>-16.309030681916109</c:v>
                </c:pt>
                <c:pt idx="233">
                  <c:v>-16.329085186176822</c:v>
                </c:pt>
                <c:pt idx="234">
                  <c:v>-16.348756194918451</c:v>
                </c:pt>
                <c:pt idx="235">
                  <c:v>-16.36807835888705</c:v>
                </c:pt>
                <c:pt idx="236">
                  <c:v>-16.387085996890598</c:v>
                </c:pt>
                <c:pt idx="237">
                  <c:v>-16.405813123127764</c:v>
                </c:pt>
                <c:pt idx="238">
                  <c:v>-16.424293475851155</c:v>
                </c:pt>
                <c:pt idx="239">
                  <c:v>-16.442560547210125</c:v>
                </c:pt>
                <c:pt idx="240">
                  <c:v>-16.460647614120216</c:v>
                </c:pt>
                <c:pt idx="241">
                  <c:v>-16.478587770013469</c:v>
                </c:pt>
                <c:pt idx="242">
                  <c:v>-16.496413957326396</c:v>
                </c:pt>
                <c:pt idx="243">
                  <c:v>-16.514159000586176</c:v>
                </c:pt>
                <c:pt idx="244">
                  <c:v>-16.531855639958366</c:v>
                </c:pt>
                <c:pt idx="245">
                  <c:v>-16.549536565122011</c:v>
                </c:pt>
                <c:pt idx="246">
                  <c:v>-16.567234449339573</c:v>
                </c:pt>
                <c:pt idx="247">
                  <c:v>-16.584981983590044</c:v>
                </c:pt>
                <c:pt idx="248">
                  <c:v>-16.602811910633832</c:v>
                </c:pt>
                <c:pt idx="249">
                  <c:v>-16.620757058877849</c:v>
                </c:pt>
                <c:pt idx="250">
                  <c:v>-16.638850375908135</c:v>
                </c:pt>
                <c:pt idx="251">
                  <c:v>-16.657124961555837</c:v>
                </c:pt>
                <c:pt idx="252">
                  <c:v>-16.675614100359596</c:v>
                </c:pt>
                <c:pt idx="253">
                  <c:v>-16.694351293284679</c:v>
                </c:pt>
                <c:pt idx="254">
                  <c:v>-16.713370288556707</c:v>
                </c:pt>
                <c:pt idx="255">
                  <c:v>-16.732705111461581</c:v>
                </c:pt>
                <c:pt idx="256">
                  <c:v>-16.752390092961178</c:v>
                </c:pt>
                <c:pt idx="257">
                  <c:v>-16.772459896968137</c:v>
                </c:pt>
                <c:pt idx="258">
                  <c:v>-16.792949546117633</c:v>
                </c:pt>
                <c:pt idx="259">
                  <c:v>-16.81389444587062</c:v>
                </c:pt>
                <c:pt idx="260">
                  <c:v>-16.835330406774371</c:v>
                </c:pt>
                <c:pt idx="261">
                  <c:v>-16.857293664703995</c:v>
                </c:pt>
                <c:pt idx="262">
                  <c:v>-16.879820898900604</c:v>
                </c:pt>
                <c:pt idx="263">
                  <c:v>-16.902949247618004</c:v>
                </c:pt>
                <c:pt idx="264">
                  <c:v>-16.92671632118509</c:v>
                </c:pt>
                <c:pt idx="265">
                  <c:v>-16.951160212286077</c:v>
                </c:pt>
                <c:pt idx="266">
                  <c:v>-16.976319503258683</c:v>
                </c:pt>
                <c:pt idx="267">
                  <c:v>-17.002233270206212</c:v>
                </c:pt>
                <c:pt idx="268">
                  <c:v>-17.028941083720564</c:v>
                </c:pt>
                <c:pt idx="269">
                  <c:v>-17.0564830060102</c:v>
                </c:pt>
                <c:pt idx="270">
                  <c:v>-17.084899584232303</c:v>
                </c:pt>
                <c:pt idx="271">
                  <c:v>-17.114231839828314</c:v>
                </c:pt>
                <c:pt idx="272">
                  <c:v>-17.144521253670565</c:v>
                </c:pt>
                <c:pt idx="273">
                  <c:v>-17.175809746832613</c:v>
                </c:pt>
                <c:pt idx="274">
                  <c:v>-17.208139656808619</c:v>
                </c:pt>
                <c:pt idx="275">
                  <c:v>-17.241553709018028</c:v>
                </c:pt>
                <c:pt idx="276">
                  <c:v>-17.27609498344852</c:v>
                </c:pt>
                <c:pt idx="277">
                  <c:v>-17.311806876308346</c:v>
                </c:pt>
                <c:pt idx="278">
                  <c:v>-17.348733056581295</c:v>
                </c:pt>
                <c:pt idx="279">
                  <c:v>-17.386917417402802</c:v>
                </c:pt>
                <c:pt idx="280">
                  <c:v>-17.426404022204149</c:v>
                </c:pt>
                <c:pt idx="281">
                  <c:v>-17.46723704560376</c:v>
                </c:pt>
                <c:pt idx="282">
                  <c:v>-17.509460709057912</c:v>
                </c:pt>
                <c:pt idx="283">
                  <c:v>-17.553119211326614</c:v>
                </c:pt>
                <c:pt idx="284">
                  <c:v>-17.598256653846676</c:v>
                </c:pt>
                <c:pt idx="285">
                  <c:v>-17.644916961150759</c:v>
                </c:pt>
                <c:pt idx="286">
                  <c:v>-17.693143796519244</c:v>
                </c:pt>
                <c:pt idx="287">
                  <c:v>-17.742980473100619</c:v>
                </c:pt>
                <c:pt idx="288">
                  <c:v>-17.79446986078484</c:v>
                </c:pt>
                <c:pt idx="289">
                  <c:v>-17.847654289170588</c:v>
                </c:pt>
                <c:pt idx="290">
                  <c:v>-17.90257544701657</c:v>
                </c:pt>
                <c:pt idx="291">
                  <c:v>-17.959274278621983</c:v>
                </c:pt>
                <c:pt idx="292">
                  <c:v>-18.017790877632127</c:v>
                </c:pt>
                <c:pt idx="293">
                  <c:v>-18.078164378815362</c:v>
                </c:pt>
                <c:pt idx="294">
                  <c:v>-18.140432848406626</c:v>
                </c:pt>
                <c:pt idx="295">
                  <c:v>-18.204633173654027</c:v>
                </c:pt>
                <c:pt idx="296">
                  <c:v>-18.270800952249211</c:v>
                </c:pt>
                <c:pt idx="297">
                  <c:v>-18.338970382351512</c:v>
                </c:pt>
                <c:pt idx="298">
                  <c:v>-18.409174153949547</c:v>
                </c:pt>
                <c:pt idx="299">
                  <c:v>-18.481443342321285</c:v>
                </c:pt>
                <c:pt idx="300">
                  <c:v>-18.555807304370138</c:v>
                </c:pt>
                <c:pt idx="301">
                  <c:v>-18.632293578619045</c:v>
                </c:pt>
                <c:pt idx="302">
                  <c:v>-18.710927789640373</c:v>
                </c:pt>
                <c:pt idx="303">
                  <c:v>-18.791733557688634</c:v>
                </c:pt>
                <c:pt idx="304">
                  <c:v>-18.87473241427854</c:v>
                </c:pt>
                <c:pt idx="305">
                  <c:v>-18.959943724421613</c:v>
                </c:pt>
                <c:pt idx="306">
                  <c:v>-19.047384616189852</c:v>
                </c:pt>
                <c:pt idx="307">
                  <c:v>-19.137069918228875</c:v>
                </c:pt>
                <c:pt idx="308">
                  <c:v>-19.22901210577891</c:v>
                </c:pt>
                <c:pt idx="309">
                  <c:v>-19.323221255699039</c:v>
                </c:pt>
                <c:pt idx="310">
                  <c:v>-19.419705010912331</c:v>
                </c:pt>
                <c:pt idx="311">
                  <c:v>-19.518468554610934</c:v>
                </c:pt>
                <c:pt idx="312">
                  <c:v>-19.61951459447404</c:v>
                </c:pt>
                <c:pt idx="313">
                  <c:v>-19.722843357060913</c:v>
                </c:pt>
                <c:pt idx="314">
                  <c:v>-19.828452592451516</c:v>
                </c:pt>
                <c:pt idx="315">
                  <c:v>-19.936337589111954</c:v>
                </c:pt>
                <c:pt idx="316">
                  <c:v>-20.046491198871088</c:v>
                </c:pt>
                <c:pt idx="317">
                  <c:v>-20.158903871802973</c:v>
                </c:pt>
                <c:pt idx="318">
                  <c:v>-20.273563700722875</c:v>
                </c:pt>
                <c:pt idx="319">
                  <c:v>-20.390456474920732</c:v>
                </c:pt>
                <c:pt idx="320">
                  <c:v>-20.509565742679325</c:v>
                </c:pt>
                <c:pt idx="321">
                  <c:v>-20.630872882053328</c:v>
                </c:pt>
                <c:pt idx="322">
                  <c:v>-20.754357179322476</c:v>
                </c:pt>
                <c:pt idx="323">
                  <c:v>-20.879995914478226</c:v>
                </c:pt>
                <c:pt idx="324">
                  <c:v>-21.00776445305652</c:v>
                </c:pt>
                <c:pt idx="325">
                  <c:v>-21.137636343594174</c:v>
                </c:pt>
                <c:pt idx="326">
                  <c:v>-21.269583419960369</c:v>
                </c:pt>
                <c:pt idx="327">
                  <c:v>-21.403575907795123</c:v>
                </c:pt>
                <c:pt idx="328">
                  <c:v>-21.5395825342828</c:v>
                </c:pt>
                <c:pt idx="329">
                  <c:v>-21.677570640487097</c:v>
                </c:pt>
                <c:pt idx="330">
                  <c:v>-21.817506295486385</c:v>
                </c:pt>
                <c:pt idx="331">
                  <c:v>-21.959354411564014</c:v>
                </c:pt>
                <c:pt idx="332">
                  <c:v>-22.103078859737309</c:v>
                </c:pt>
                <c:pt idx="333">
                  <c:v>-22.248642584936427</c:v>
                </c:pt>
                <c:pt idx="334">
                  <c:v>-22.396007720185928</c:v>
                </c:pt>
                <c:pt idx="335">
                  <c:v>-22.545135699182296</c:v>
                </c:pt>
                <c:pt idx="336">
                  <c:v>-22.695987366707225</c:v>
                </c:pt>
                <c:pt idx="337">
                  <c:v>-22.848523086365418</c:v>
                </c:pt>
                <c:pt idx="338">
                  <c:v>-23.002702845188473</c:v>
                </c:pt>
                <c:pt idx="339">
                  <c:v>-23.158486354697331</c:v>
                </c:pt>
                <c:pt idx="340">
                  <c:v>-23.315833148069018</c:v>
                </c:pt>
                <c:pt idx="341">
                  <c:v>-23.474702673107373</c:v>
                </c:pt>
                <c:pt idx="342">
                  <c:v>-23.635054380767947</c:v>
                </c:pt>
                <c:pt idx="343">
                  <c:v>-23.796847809037445</c:v>
                </c:pt>
                <c:pt idx="344">
                  <c:v>-23.960042662017933</c:v>
                </c:pt>
                <c:pt idx="345">
                  <c:v>-24.124598884109801</c:v>
                </c:pt>
                <c:pt idx="346">
                  <c:v>-24.290476729231628</c:v>
                </c:pt>
                <c:pt idx="347">
                  <c:v>-24.45763682505476</c:v>
                </c:pt>
                <c:pt idx="348">
                  <c:v>-24.626040232267098</c:v>
                </c:pt>
                <c:pt idx="349">
                  <c:v>-24.795648498914321</c:v>
                </c:pt>
                <c:pt idx="350">
                  <c:v>-24.966423709895473</c:v>
                </c:pt>
                <c:pt idx="351">
                  <c:v>-25.138328531717882</c:v>
                </c:pt>
                <c:pt idx="352">
                  <c:v>-25.311326252638665</c:v>
                </c:pt>
                <c:pt idx="353">
                  <c:v>-25.485380818339507</c:v>
                </c:pt>
                <c:pt idx="354">
                  <c:v>-25.660456863299338</c:v>
                </c:pt>
                <c:pt idx="355">
                  <c:v>-25.836519738041801</c:v>
                </c:pt>
                <c:pt idx="356">
                  <c:v>-26.013535532445871</c:v>
                </c:pt>
                <c:pt idx="357">
                  <c:v>-26.191471095316693</c:v>
                </c:pt>
                <c:pt idx="358">
                  <c:v>-26.370294050418007</c:v>
                </c:pt>
                <c:pt idx="359">
                  <c:v>-26.549972809172733</c:v>
                </c:pt>
                <c:pt idx="360">
                  <c:v>-26.730476580238648</c:v>
                </c:pt>
                <c:pt idx="361">
                  <c:v>-26.911775376165963</c:v>
                </c:pt>
                <c:pt idx="362">
                  <c:v>-27.093840017342814</c:v>
                </c:pt>
                <c:pt idx="363">
                  <c:v>-27.276642133429316</c:v>
                </c:pt>
                <c:pt idx="364">
                  <c:v>-27.460154162478972</c:v>
                </c:pt>
                <c:pt idx="365">
                  <c:v>-27.644349347938373</c:v>
                </c:pt>
                <c:pt idx="366">
                  <c:v>-27.829201733712186</c:v>
                </c:pt>
                <c:pt idx="367">
                  <c:v>-28.014686157470628</c:v>
                </c:pt>
                <c:pt idx="368">
                  <c:v>-28.200778242372223</c:v>
                </c:pt>
                <c:pt idx="369">
                  <c:v>-28.387454387364471</c:v>
                </c:pt>
                <c:pt idx="370">
                  <c:v>-28.574691756217767</c:v>
                </c:pt>
                <c:pt idx="371">
                  <c:v>-28.762468265439431</c:v>
                </c:pt>
                <c:pt idx="372">
                  <c:v>-28.950762571205995</c:v>
                </c:pt>
                <c:pt idx="373">
                  <c:v>-29.139554055444634</c:v>
                </c:pt>
                <c:pt idx="374">
                  <c:v>-29.328822811183869</c:v>
                </c:pt>
                <c:pt idx="375">
                  <c:v>-29.51854962728785</c:v>
                </c:pt>
                <c:pt idx="376">
                  <c:v>-29.708715972679244</c:v>
                </c:pt>
                <c:pt idx="377">
                  <c:v>-29.899303980148101</c:v>
                </c:pt>
                <c:pt idx="378">
                  <c:v>-30.090296429836503</c:v>
                </c:pt>
                <c:pt idx="379">
                  <c:v>-30.281676732481316</c:v>
                </c:pt>
                <c:pt idx="380">
                  <c:v>-30.473428912491507</c:v>
                </c:pt>
                <c:pt idx="381">
                  <c:v>-30.665537590927197</c:v>
                </c:pt>
                <c:pt idx="382">
                  <c:v>-30.857987968444959</c:v>
                </c:pt>
                <c:pt idx="383">
                  <c:v>-31.050765808264437</c:v>
                </c:pt>
                <c:pt idx="384">
                  <c:v>-31.243857419208481</c:v>
                </c:pt>
                <c:pt idx="385">
                  <c:v>-31.437249638860834</c:v>
                </c:pt>
                <c:pt idx="386">
                  <c:v>-31.630929816884038</c:v>
                </c:pt>
                <c:pt idx="387">
                  <c:v>-31.824885798531422</c:v>
                </c:pt>
                <c:pt idx="388">
                  <c:v>-32.019105908387061</c:v>
                </c:pt>
                <c:pt idx="389">
                  <c:v>-32.213578934359518</c:v>
                </c:pt>
                <c:pt idx="390">
                  <c:v>-32.408294111953936</c:v>
                </c:pt>
                <c:pt idx="391">
                  <c:v>-32.603241108844522</c:v>
                </c:pt>
                <c:pt idx="392">
                  <c:v>-32.798410009762065</c:v>
                </c:pt>
                <c:pt idx="393">
                  <c:v>-32.993791301712747</c:v>
                </c:pt>
                <c:pt idx="394">
                  <c:v>-33.189375859540753</c:v>
                </c:pt>
                <c:pt idx="395">
                  <c:v>-33.38515493184174</c:v>
                </c:pt>
                <c:pt idx="396">
                  <c:v>-33.581120127237121</c:v>
                </c:pt>
                <c:pt idx="397">
                  <c:v>-33.777263401012462</c:v>
                </c:pt>
                <c:pt idx="398">
                  <c:v>-33.973577042123772</c:v>
                </c:pt>
                <c:pt idx="399">
                  <c:v>-34.1700536605751</c:v>
                </c:pt>
                <c:pt idx="400">
                  <c:v>-34.366686175165484</c:v>
                </c:pt>
                <c:pt idx="401">
                  <c:v>-34.563467801606038</c:v>
                </c:pt>
                <c:pt idx="402">
                  <c:v>-34.760392041004174</c:v>
                </c:pt>
                <c:pt idx="403">
                  <c:v>-34.957452668713081</c:v>
                </c:pt>
                <c:pt idx="404">
                  <c:v>-35.154643723540808</c:v>
                </c:pt>
                <c:pt idx="405">
                  <c:v>-35.351959497315626</c:v>
                </c:pt>
                <c:pt idx="406">
                  <c:v>-35.549394524801869</c:v>
                </c:pt>
                <c:pt idx="407">
                  <c:v>-35.746943573959598</c:v>
                </c:pt>
                <c:pt idx="408">
                  <c:v>-35.944601636542309</c:v>
                </c:pt>
                <c:pt idx="409">
                  <c:v>-36.142363919026131</c:v>
                </c:pt>
                <c:pt idx="410">
                  <c:v>-36.340225833861687</c:v>
                </c:pt>
                <c:pt idx="411">
                  <c:v>-36.538182991042575</c:v>
                </c:pt>
                <c:pt idx="412">
                  <c:v>-36.736231189982512</c:v>
                </c:pt>
                <c:pt idx="413">
                  <c:v>-36.934366411691485</c:v>
                </c:pt>
                <c:pt idx="414">
                  <c:v>-37.132584811246588</c:v>
                </c:pt>
                <c:pt idx="415">
                  <c:v>-37.330882710544159</c:v>
                </c:pt>
                <c:pt idx="416">
                  <c:v>-37.529256591330203</c:v>
                </c:pt>
                <c:pt idx="417">
                  <c:v>-37.727703088497172</c:v>
                </c:pt>
                <c:pt idx="418">
                  <c:v>-37.926218983641029</c:v>
                </c:pt>
                <c:pt idx="419">
                  <c:v>-38.12480119886969</c:v>
                </c:pt>
                <c:pt idx="420">
                  <c:v>-38.323446790854327</c:v>
                </c:pt>
                <c:pt idx="421">
                  <c:v>-38.522152945116723</c:v>
                </c:pt>
                <c:pt idx="422">
                  <c:v>-38.720916970544373</c:v>
                </c:pt>
                <c:pt idx="423">
                  <c:v>-38.919736294124021</c:v>
                </c:pt>
                <c:pt idx="424">
                  <c:v>-39.118608455889799</c:v>
                </c:pt>
                <c:pt idx="425">
                  <c:v>-39.317531104073559</c:v>
                </c:pt>
                <c:pt idx="426">
                  <c:v>-39.516501990455197</c:v>
                </c:pt>
                <c:pt idx="427">
                  <c:v>-39.715518965901474</c:v>
                </c:pt>
                <c:pt idx="428">
                  <c:v>-39.914579976089207</c:v>
                </c:pt>
                <c:pt idx="429">
                  <c:v>-40.113683057404984</c:v>
                </c:pt>
                <c:pt idx="430">
                  <c:v>-40.312826333015366</c:v>
                </c:pt>
                <c:pt idx="431">
                  <c:v>-40.512008009099638</c:v>
                </c:pt>
                <c:pt idx="432">
                  <c:v>-40.711226371241231</c:v>
                </c:pt>
                <c:pt idx="433">
                  <c:v>-40.910479780970086</c:v>
                </c:pt>
                <c:pt idx="434">
                  <c:v>-41.109766672450078</c:v>
                </c:pt>
                <c:pt idx="435">
                  <c:v>-41.309085549307255</c:v>
                </c:pt>
                <c:pt idx="436">
                  <c:v>-41.508434981591634</c:v>
                </c:pt>
                <c:pt idx="437">
                  <c:v>-41.707813602868328</c:v>
                </c:pt>
                <c:pt idx="438">
                  <c:v>-41.907220107432607</c:v>
                </c:pt>
                <c:pt idx="439">
                  <c:v>-42.10665324764399</c:v>
                </c:pt>
                <c:pt idx="440">
                  <c:v>-42.30611183137399</c:v>
                </c:pt>
                <c:pt idx="441">
                  <c:v>-42.505594719564137</c:v>
                </c:pt>
                <c:pt idx="442">
                  <c:v>-42.705100823888039</c:v>
                </c:pt>
                <c:pt idx="443">
                  <c:v>-42.904629104515521</c:v>
                </c:pt>
                <c:pt idx="444">
                  <c:v>-43.104178567971701</c:v>
                </c:pt>
                <c:pt idx="445">
                  <c:v>-43.303748265090277</c:v>
                </c:pt>
                <c:pt idx="446">
                  <c:v>-43.503337289054294</c:v>
                </c:pt>
                <c:pt idx="447">
                  <c:v>-43.702944773522852</c:v>
                </c:pt>
                <c:pt idx="448">
                  <c:v>-43.902569890838819</c:v>
                </c:pt>
                <c:pt idx="449">
                  <c:v>-44.102211850314646</c:v>
                </c:pt>
                <c:pt idx="450">
                  <c:v>-44.301869896593388</c:v>
                </c:pt>
                <c:pt idx="451">
                  <c:v>-44.501543308080755</c:v>
                </c:pt>
                <c:pt idx="452">
                  <c:v>-44.701231395446172</c:v>
                </c:pt>
                <c:pt idx="453">
                  <c:v>-44.900933500189367</c:v>
                </c:pt>
                <c:pt idx="454">
                  <c:v>-45.100648993269843</c:v>
                </c:pt>
                <c:pt idx="455">
                  <c:v>-45.30037727379657</c:v>
                </c:pt>
                <c:pt idx="456">
                  <c:v>-45.500117767775194</c:v>
                </c:pt>
                <c:pt idx="457">
                  <c:v>-45.699869926910594</c:v>
                </c:pt>
                <c:pt idx="458">
                  <c:v>-45.899633227461798</c:v>
                </c:pt>
                <c:pt idx="459">
                  <c:v>-46.09940716914803</c:v>
                </c:pt>
                <c:pt idx="460">
                  <c:v>-46.299191274102434</c:v>
                </c:pt>
                <c:pt idx="461">
                  <c:v>-46.498985085872221</c:v>
                </c:pt>
                <c:pt idx="462">
                  <c:v>-46.698788168463281</c:v>
                </c:pt>
                <c:pt idx="463">
                  <c:v>-46.898600105426702</c:v>
                </c:pt>
                <c:pt idx="464">
                  <c:v>-47.098420498985938</c:v>
                </c:pt>
                <c:pt idx="465">
                  <c:v>-47.298248969202675</c:v>
                </c:pt>
                <c:pt idx="466">
                  <c:v>-47.498085153179787</c:v>
                </c:pt>
                <c:pt idx="467">
                  <c:v>-47.697928704299279</c:v>
                </c:pt>
                <c:pt idx="468">
                  <c:v>-47.89777929149443</c:v>
                </c:pt>
                <c:pt idx="469">
                  <c:v>-48.097636598554317</c:v>
                </c:pt>
                <c:pt idx="470">
                  <c:v>-48.297500323458905</c:v>
                </c:pt>
                <c:pt idx="471">
                  <c:v>-48.497370177744124</c:v>
                </c:pt>
                <c:pt idx="472">
                  <c:v>-48.697245885895043</c:v>
                </c:pt>
                <c:pt idx="473">
                  <c:v>-48.89712718476563</c:v>
                </c:pt>
                <c:pt idx="474">
                  <c:v>-49.097013823025407</c:v>
                </c:pt>
                <c:pt idx="475">
                  <c:v>-49.296905560629831</c:v>
                </c:pt>
                <c:pt idx="476">
                  <c:v>-49.496802168314495</c:v>
                </c:pt>
                <c:pt idx="477">
                  <c:v>-49.696703427112261</c:v>
                </c:pt>
                <c:pt idx="478">
                  <c:v>-49.896609127891466</c:v>
                </c:pt>
                <c:pt idx="479">
                  <c:v>-50.096519070915086</c:v>
                </c:pt>
                <c:pt idx="480">
                  <c:v>-50.296433065419535</c:v>
                </c:pt>
                <c:pt idx="481">
                  <c:v>-50.496350929212142</c:v>
                </c:pt>
                <c:pt idx="482">
                  <c:v>-50.696272488286667</c:v>
                </c:pt>
                <c:pt idx="483">
                  <c:v>-50.896197576456089</c:v>
                </c:pt>
                <c:pt idx="484">
                  <c:v>-51.096126035001973</c:v>
                </c:pt>
                <c:pt idx="485">
                  <c:v>-51.296057712338829</c:v>
                </c:pt>
                <c:pt idx="486">
                  <c:v>-51.495992463694229</c:v>
                </c:pt>
                <c:pt idx="487">
                  <c:v>-51.695930150803484</c:v>
                </c:pt>
                <c:pt idx="488">
                  <c:v>-51.895870641616504</c:v>
                </c:pt>
                <c:pt idx="489">
                  <c:v>-52.095813810019813</c:v>
                </c:pt>
                <c:pt idx="490">
                  <c:v>-52.295759535568948</c:v>
                </c:pt>
                <c:pt idx="491">
                  <c:v>-52.495707703234942</c:v>
                </c:pt>
                <c:pt idx="492">
                  <c:v>-52.695658203160264</c:v>
                </c:pt>
                <c:pt idx="493">
                  <c:v>-52.89561093042704</c:v>
                </c:pt>
                <c:pt idx="494">
                  <c:v>-53.095565784834974</c:v>
                </c:pt>
                <c:pt idx="495">
                  <c:v>-53.295522670689039</c:v>
                </c:pt>
                <c:pt idx="496">
                  <c:v>-53.495481496598174</c:v>
                </c:pt>
                <c:pt idx="497">
                  <c:v>-53.695442175280768</c:v>
                </c:pt>
                <c:pt idx="498">
                  <c:v>-53.895404623380323</c:v>
                </c:pt>
                <c:pt idx="499">
                  <c:v>-54.095368761289393</c:v>
                </c:pt>
                <c:pt idx="500">
                  <c:v>-54.295334512980808</c:v>
                </c:pt>
                <c:pt idx="501">
                  <c:v>-54.495301805846864</c:v>
                </c:pt>
                <c:pt idx="502">
                  <c:v>-54.695270570545432</c:v>
                </c:pt>
                <c:pt idx="503">
                  <c:v>-54.89524074085363</c:v>
                </c:pt>
                <c:pt idx="504">
                  <c:v>-55.095212253526981</c:v>
                </c:pt>
                <c:pt idx="505">
                  <c:v>-55.295185048166083</c:v>
                </c:pt>
                <c:pt idx="506">
                  <c:v>-55.495159067088338</c:v>
                </c:pt>
                <c:pt idx="507">
                  <c:v>-55.695134255205957</c:v>
                </c:pt>
                <c:pt idx="508">
                  <c:v>-55.895110559909405</c:v>
                </c:pt>
                <c:pt idx="509">
                  <c:v>-56.095087930955643</c:v>
                </c:pt>
                <c:pt idx="510">
                  <c:v>-56.295066320362025</c:v>
                </c:pt>
                <c:pt idx="511">
                  <c:v>-56.49504568230455</c:v>
                </c:pt>
                <c:pt idx="512">
                  <c:v>-56.695025973020734</c:v>
                </c:pt>
                <c:pt idx="513">
                  <c:v>-56.895007150716907</c:v>
                </c:pt>
                <c:pt idx="514">
                  <c:v>-57.094989175479853</c:v>
                </c:pt>
                <c:pt idx="515">
                  <c:v>-57.294972009191916</c:v>
                </c:pt>
                <c:pt idx="516">
                  <c:v>-57.494955615450749</c:v>
                </c:pt>
                <c:pt idx="517">
                  <c:v>-57.694939959491329</c:v>
                </c:pt>
                <c:pt idx="518">
                  <c:v>-57.894925008113262</c:v>
                </c:pt>
                <c:pt idx="519">
                  <c:v>-58.094910729609822</c:v>
                </c:pt>
                <c:pt idx="520">
                  <c:v>-58.294897093700868</c:v>
                </c:pt>
                <c:pt idx="521">
                  <c:v>-58.494884071468874</c:v>
                </c:pt>
                <c:pt idx="522">
                  <c:v>-58.694871635297154</c:v>
                </c:pt>
                <c:pt idx="523">
                  <c:v>-58.894859758811968</c:v>
                </c:pt>
                <c:pt idx="524">
                  <c:v>-59.094848416826366</c:v>
                </c:pt>
                <c:pt idx="525">
                  <c:v>-59.294837585286245</c:v>
                </c:pt>
                <c:pt idx="526">
                  <c:v>-59.494827241220484</c:v>
                </c:pt>
                <c:pt idx="527">
                  <c:v>-59.694817362691325</c:v>
                </c:pt>
                <c:pt idx="528">
                  <c:v>-59.894807928748037</c:v>
                </c:pt>
                <c:pt idx="529">
                  <c:v>-60.09479891938301</c:v>
                </c:pt>
                <c:pt idx="530">
                  <c:v>-60.294790315488704</c:v>
                </c:pt>
                <c:pt idx="531">
                  <c:v>-60.49478209881741</c:v>
                </c:pt>
                <c:pt idx="532">
                  <c:v>-60.694774251942704</c:v>
                </c:pt>
                <c:pt idx="533">
                  <c:v>-60.894766758222225</c:v>
                </c:pt>
                <c:pt idx="534">
                  <c:v>-61.094759601762576</c:v>
                </c:pt>
                <c:pt idx="535">
                  <c:v>-61.294752767385603</c:v>
                </c:pt>
                <c:pt idx="536">
                  <c:v>-61.49474624059625</c:v>
                </c:pt>
                <c:pt idx="537">
                  <c:v>-61.694740007551559</c:v>
                </c:pt>
                <c:pt idx="538">
                  <c:v>-61.894734055031734</c:v>
                </c:pt>
                <c:pt idx="539">
                  <c:v>-62.094728370411772</c:v>
                </c:pt>
                <c:pt idx="540">
                  <c:v>-62.294722941634852</c:v>
                </c:pt>
                <c:pt idx="541">
                  <c:v>-62.494717757186777</c:v>
                </c:pt>
              </c:numCache>
            </c:numRef>
          </c:yVal>
          <c:smooth val="1"/>
          <c:extLst>
            <c:ext xmlns:c16="http://schemas.microsoft.com/office/drawing/2014/chart" uri="{C3380CC4-5D6E-409C-BE32-E72D297353CC}">
              <c16:uniqueId val="{00000000-69B3-4D32-87DC-999910D89784}"/>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90.912402993895967</c:v>
                </c:pt>
                <c:pt idx="1">
                  <c:v>90.933651303323757</c:v>
                </c:pt>
                <c:pt idx="2">
                  <c:v>90.955394242968069</c:v>
                </c:pt>
                <c:pt idx="3">
                  <c:v>90.977643312335744</c:v>
                </c:pt>
                <c:pt idx="4">
                  <c:v>91.000410277225598</c:v>
                </c:pt>
                <c:pt idx="5">
                  <c:v>91.023707175819283</c:v>
                </c:pt>
                <c:pt idx="6">
                  <c:v>91.047546324906051</c:v>
                </c:pt>
                <c:pt idx="7">
                  <c:v>91.071940326243976</c:v>
                </c:pt>
                <c:pt idx="8">
                  <c:v>91.096902073060193</c:v>
                </c:pt>
                <c:pt idx="9">
                  <c:v>91.122444756692616</c:v>
                </c:pt>
                <c:pt idx="10">
                  <c:v>91.148581873376102</c:v>
                </c:pt>
                <c:pt idx="11">
                  <c:v>91.175327231175032</c:v>
                </c:pt>
                <c:pt idx="12">
                  <c:v>91.202694957065788</c:v>
                </c:pt>
                <c:pt idx="13">
                  <c:v>91.230699504170857</c:v>
                </c:pt>
                <c:pt idx="14">
                  <c:v>91.259355659147786</c:v>
                </c:pt>
                <c:pt idx="15">
                  <c:v>91.288678549735465</c:v>
                </c:pt>
                <c:pt idx="16">
                  <c:v>91.31868365246018</c:v>
                </c:pt>
                <c:pt idx="17">
                  <c:v>91.349386800504192</c:v>
                </c:pt>
                <c:pt idx="18">
                  <c:v>91.380804191739458</c:v>
                </c:pt>
                <c:pt idx="19">
                  <c:v>91.412952396928787</c:v>
                </c:pt>
                <c:pt idx="20">
                  <c:v>91.44584836809733</c:v>
                </c:pt>
                <c:pt idx="21">
                  <c:v>91.479509447076481</c:v>
                </c:pt>
                <c:pt idx="22">
                  <c:v>91.513953374222979</c:v>
                </c:pt>
                <c:pt idx="23">
                  <c:v>91.549198297315272</c:v>
                </c:pt>
                <c:pt idx="24">
                  <c:v>91.585262780629748</c:v>
                </c:pt>
                <c:pt idx="25">
                  <c:v>91.622165814198738</c:v>
                </c:pt>
                <c:pt idx="26">
                  <c:v>91.659926823252817</c:v>
                </c:pt>
                <c:pt idx="27">
                  <c:v>91.698565677849089</c:v>
                </c:pt>
                <c:pt idx="28">
                  <c:v>91.738102702687712</c:v>
                </c:pt>
                <c:pt idx="29">
                  <c:v>91.778558687118192</c:v>
                </c:pt>
                <c:pt idx="30">
                  <c:v>91.819954895337446</c:v>
                </c:pt>
                <c:pt idx="31">
                  <c:v>91.862313076780808</c:v>
                </c:pt>
                <c:pt idx="32">
                  <c:v>91.905655476707636</c:v>
                </c:pt>
                <c:pt idx="33">
                  <c:v>91.950004846982566</c:v>
                </c:pt>
                <c:pt idx="34">
                  <c:v>91.995384457053291</c:v>
                </c:pt>
                <c:pt idx="35">
                  <c:v>92.04181810512577</c:v>
                </c:pt>
                <c:pt idx="36">
                  <c:v>92.089330129537174</c:v>
                </c:pt>
                <c:pt idx="37">
                  <c:v>92.137945420326929</c:v>
                </c:pt>
                <c:pt idx="38">
                  <c:v>92.187689431005623</c:v>
                </c:pt>
                <c:pt idx="39">
                  <c:v>92.238588190521483</c:v>
                </c:pt>
                <c:pt idx="40">
                  <c:v>92.290668315423318</c:v>
                </c:pt>
                <c:pt idx="41">
                  <c:v>92.3439570222192</c:v>
                </c:pt>
                <c:pt idx="42">
                  <c:v>92.398482139929058</c:v>
                </c:pt>
                <c:pt idx="43">
                  <c:v>92.454272122828826</c:v>
                </c:pt>
                <c:pt idx="44">
                  <c:v>92.511356063383914</c:v>
                </c:pt>
                <c:pt idx="45">
                  <c:v>92.569763705369056</c:v>
                </c:pt>
                <c:pt idx="46">
                  <c:v>92.629525457169976</c:v>
                </c:pt>
                <c:pt idx="47">
                  <c:v>92.690672405263484</c:v>
                </c:pt>
                <c:pt idx="48">
                  <c:v>92.753236327870354</c:v>
                </c:pt>
                <c:pt idx="49">
                  <c:v>92.817249708775222</c:v>
                </c:pt>
                <c:pt idx="50">
                  <c:v>92.88274575130707</c:v>
                </c:pt>
                <c:pt idx="51">
                  <c:v>92.949758392472617</c:v>
                </c:pt>
                <c:pt idx="52">
                  <c:v>93.018322317234379</c:v>
                </c:pt>
                <c:pt idx="53">
                  <c:v>93.088472972923725</c:v>
                </c:pt>
                <c:pt idx="54">
                  <c:v>93.160246583778402</c:v>
                </c:pt>
                <c:pt idx="55">
                  <c:v>93.233680165593114</c:v>
                </c:pt>
                <c:pt idx="56">
                  <c:v>93.308811540469733</c:v>
                </c:pt>
                <c:pt idx="57">
                  <c:v>93.385679351653224</c:v>
                </c:pt>
                <c:pt idx="58">
                  <c:v>93.464323078437204</c:v>
                </c:pt>
                <c:pt idx="59">
                  <c:v>93.544783051121968</c:v>
                </c:pt>
                <c:pt idx="60">
                  <c:v>93.627100466005871</c:v>
                </c:pt>
                <c:pt idx="61">
                  <c:v>93.711317400389547</c:v>
                </c:pt>
                <c:pt idx="62">
                  <c:v>93.797476827569568</c:v>
                </c:pt>
                <c:pt idx="63">
                  <c:v>93.885622631797901</c:v>
                </c:pt>
                <c:pt idx="64">
                  <c:v>93.975799623179284</c:v>
                </c:pt>
                <c:pt idx="65">
                  <c:v>94.068053552477238</c:v>
                </c:pt>
                <c:pt idx="66">
                  <c:v>94.162431125798122</c:v>
                </c:pt>
                <c:pt idx="67">
                  <c:v>94.258980019117189</c:v>
                </c:pt>
                <c:pt idx="68">
                  <c:v>94.357748892610672</c:v>
                </c:pt>
                <c:pt idx="69">
                  <c:v>94.458787404752869</c:v>
                </c:pt>
                <c:pt idx="70">
                  <c:v>94.562146226135226</c:v>
                </c:pt>
                <c:pt idx="71">
                  <c:v>94.667877052960108</c:v>
                </c:pt>
                <c:pt idx="72">
                  <c:v>94.776032620159071</c:v>
                </c:pt>
                <c:pt idx="73">
                  <c:v>94.886666714081059</c:v>
                </c:pt>
                <c:pt idx="74">
                  <c:v>94.999834184691721</c:v>
                </c:pt>
                <c:pt idx="75">
                  <c:v>95.115590957222111</c:v>
                </c:pt>
                <c:pt idx="76">
                  <c:v>95.233994043197484</c:v>
                </c:pt>
                <c:pt idx="77">
                  <c:v>95.355101550775984</c:v>
                </c:pt>
                <c:pt idx="78">
                  <c:v>95.478972694318045</c:v>
                </c:pt>
                <c:pt idx="79">
                  <c:v>95.605667803104538</c:v>
                </c:pt>
                <c:pt idx="80">
                  <c:v>95.735248329114782</c:v>
                </c:pt>
                <c:pt idx="81">
                  <c:v>95.867776853769683</c:v>
                </c:pt>
                <c:pt idx="82">
                  <c:v>96.003317093538712</c:v>
                </c:pt>
                <c:pt idx="83">
                  <c:v>96.141933904303741</c:v>
                </c:pt>
                <c:pt idx="84">
                  <c:v>96.283693284363764</c:v>
                </c:pt>
                <c:pt idx="85">
                  <c:v>96.428662375959291</c:v>
                </c:pt>
                <c:pt idx="86">
                  <c:v>96.576909465186219</c:v>
                </c:pt>
                <c:pt idx="87">
                  <c:v>96.728503980160497</c:v>
                </c:pt>
                <c:pt idx="88">
                  <c:v>96.883516487288588</c:v>
                </c:pt>
                <c:pt idx="89">
                  <c:v>97.042018685486667</c:v>
                </c:pt>
                <c:pt idx="90">
                  <c:v>97.204083398186327</c:v>
                </c:pt>
                <c:pt idx="91">
                  <c:v>97.369784562950372</c:v>
                </c:pt>
                <c:pt idx="92">
                  <c:v>97.539197218517813</c:v>
                </c:pt>
                <c:pt idx="93">
                  <c:v>97.712397489081965</c:v>
                </c:pt>
                <c:pt idx="94">
                  <c:v>97.88946256559862</c:v>
                </c:pt>
                <c:pt idx="95">
                  <c:v>98.070470683909093</c:v>
                </c:pt>
                <c:pt idx="96">
                  <c:v>98.255501099452317</c:v>
                </c:pt>
                <c:pt idx="97">
                  <c:v>98.444634058327949</c:v>
                </c:pt>
                <c:pt idx="98">
                  <c:v>98.637950764464151</c:v>
                </c:pt>
                <c:pt idx="99">
                  <c:v>98.835533342627599</c:v>
                </c:pt>
                <c:pt idx="100">
                  <c:v>99.037464797006223</c:v>
                </c:pt>
                <c:pt idx="101">
                  <c:v>99.243828965080567</c:v>
                </c:pt>
                <c:pt idx="102">
                  <c:v>99.454710466490098</c:v>
                </c:pt>
                <c:pt idx="103">
                  <c:v>99.670194646588186</c:v>
                </c:pt>
                <c:pt idx="104">
                  <c:v>99.890367514370084</c:v>
                </c:pt>
                <c:pt idx="105">
                  <c:v>100.11531567444547</c:v>
                </c:pt>
                <c:pt idx="106">
                  <c:v>100.34512625271994</c:v>
                </c:pt>
                <c:pt idx="107">
                  <c:v>100.57988681543733</c:v>
                </c:pt>
                <c:pt idx="108">
                  <c:v>100.81968528122979</c:v>
                </c:pt>
                <c:pt idx="109">
                  <c:v>101.06460982581119</c:v>
                </c:pt>
                <c:pt idx="110">
                  <c:v>101.31474877894755</c:v>
                </c:pt>
                <c:pt idx="111">
                  <c:v>101.57019051332892</c:v>
                </c:pt>
                <c:pt idx="112">
                  <c:v>101.83102332496848</c:v>
                </c:pt>
                <c:pt idx="113">
                  <c:v>102.09733530475076</c:v>
                </c:pt>
                <c:pt idx="114">
                  <c:v>102.3692142007517</c:v>
                </c:pt>
                <c:pt idx="115">
                  <c:v>102.64674727096114</c:v>
                </c:pt>
                <c:pt idx="116">
                  <c:v>102.93002112603934</c:v>
                </c:pt>
                <c:pt idx="117">
                  <c:v>103.21912156175357</c:v>
                </c:pt>
                <c:pt idx="118">
                  <c:v>103.51413338075216</c:v>
                </c:pt>
                <c:pt idx="119">
                  <c:v>103.81514020335175</c:v>
                </c:pt>
                <c:pt idx="120">
                  <c:v>104.12222426703535</c:v>
                </c:pt>
                <c:pt idx="121">
                  <c:v>104.43546621438514</c:v>
                </c:pt>
                <c:pt idx="122">
                  <c:v>104.75494486920701</c:v>
                </c:pt>
                <c:pt idx="123">
                  <c:v>105.08073700064148</c:v>
                </c:pt>
                <c:pt idx="124">
                  <c:v>105.41291707509708</c:v>
                </c:pt>
                <c:pt idx="125">
                  <c:v>105.75155699589833</c:v>
                </c:pt>
                <c:pt idx="126">
                  <c:v>106.09672583059124</c:v>
                </c:pt>
                <c:pt idx="127">
                  <c:v>106.44848952591862</c:v>
                </c:pt>
                <c:pt idx="128">
                  <c:v>106.80691061054878</c:v>
                </c:pt>
                <c:pt idx="129">
                  <c:v>107.17204788572238</c:v>
                </c:pt>
                <c:pt idx="130">
                  <c:v>107.54395610406758</c:v>
                </c:pt>
                <c:pt idx="131">
                  <c:v>107.92268563693797</c:v>
                </c:pt>
                <c:pt idx="132">
                  <c:v>108.30828213072586</c:v>
                </c:pt>
                <c:pt idx="133">
                  <c:v>108.70078615272479</c:v>
                </c:pt>
                <c:pt idx="134">
                  <c:v>109.10023282723415</c:v>
                </c:pt>
                <c:pt idx="135">
                  <c:v>109.506651462731</c:v>
                </c:pt>
                <c:pt idx="136">
                  <c:v>109.92006517107531</c:v>
                </c:pt>
                <c:pt idx="137">
                  <c:v>110.34049047986129</c:v>
                </c:pt>
                <c:pt idx="138">
                  <c:v>110.76793693917455</c:v>
                </c:pt>
                <c:pt idx="139">
                  <c:v>111.202406724187</c:v>
                </c:pt>
                <c:pt idx="140">
                  <c:v>111.64389423516883</c:v>
                </c:pt>
                <c:pt idx="141">
                  <c:v>112.09238569667792</c:v>
                </c:pt>
                <c:pt idx="142">
                  <c:v>112.54785875784295</c:v>
                </c:pt>
                <c:pt idx="143">
                  <c:v>113.01028209583434</c:v>
                </c:pt>
                <c:pt idx="144">
                  <c:v>113.47961502477466</c:v>
                </c:pt>
                <c:pt idx="145">
                  <c:v>113.95580711250386</c:v>
                </c:pt>
                <c:pt idx="146">
                  <c:v>114.43879780776859</c:v>
                </c:pt>
                <c:pt idx="147">
                  <c:v>114.92851608054181</c:v>
                </c:pt>
                <c:pt idx="148">
                  <c:v>115.42488007831763</c:v>
                </c:pt>
                <c:pt idx="149">
                  <c:v>115.92779680132831</c:v>
                </c:pt>
                <c:pt idx="150">
                  <c:v>116.43716179973137</c:v>
                </c:pt>
                <c:pt idx="151">
                  <c:v>116.95285889588206</c:v>
                </c:pt>
                <c:pt idx="152">
                  <c:v>117.47475993485106</c:v>
                </c:pt>
                <c:pt idx="153">
                  <c:v>118.00272456635962</c:v>
                </c:pt>
                <c:pt idx="154">
                  <c:v>118.53660006128727</c:v>
                </c:pt>
                <c:pt idx="155">
                  <c:v>119.07622116585691</c:v>
                </c:pt>
                <c:pt idx="156">
                  <c:v>119.62140999650084</c:v>
                </c:pt>
                <c:pt idx="157">
                  <c:v>120.17197597828967</c:v>
                </c:pt>
                <c:pt idx="158">
                  <c:v>120.72771582962206</c:v>
                </c:pt>
                <c:pt idx="159">
                  <c:v>121.28841359566357</c:v>
                </c:pt>
                <c:pt idx="160">
                  <c:v>121.85384073275667</c:v>
                </c:pt>
                <c:pt idx="161">
                  <c:v>122.42375624572236</c:v>
                </c:pt>
                <c:pt idx="162">
                  <c:v>122.9979068796285</c:v>
                </c:pt>
                <c:pt idx="163">
                  <c:v>123.5760273672127</c:v>
                </c:pt>
                <c:pt idx="164">
                  <c:v>124.15784073272781</c:v>
                </c:pt>
                <c:pt idx="165">
                  <c:v>124.74305865251804</c:v>
                </c:pt>
                <c:pt idx="166">
                  <c:v>125.33138187215815</c:v>
                </c:pt>
                <c:pt idx="167">
                  <c:v>125.92250067946991</c:v>
                </c:pt>
                <c:pt idx="168">
                  <c:v>126.51609543222173</c:v>
                </c:pt>
                <c:pt idx="169">
                  <c:v>127.11183713877416</c:v>
                </c:pt>
                <c:pt idx="170">
                  <c:v>127.70938808940605</c:v>
                </c:pt>
                <c:pt idx="171">
                  <c:v>128.30840253553009</c:v>
                </c:pt>
                <c:pt idx="172">
                  <c:v>128.90852741349332</c:v>
                </c:pt>
                <c:pt idx="173">
                  <c:v>129.50940310917144</c:v>
                </c:pt>
                <c:pt idx="174">
                  <c:v>130.11066425910809</c:v>
                </c:pt>
                <c:pt idx="175">
                  <c:v>130.71194058353618</c:v>
                </c:pt>
                <c:pt idx="176">
                  <c:v>131.31285774624598</c:v>
                </c:pt>
                <c:pt idx="177">
                  <c:v>131.91303823595166</c:v>
                </c:pt>
                <c:pt idx="178">
                  <c:v>132.51210226355167</c:v>
                </c:pt>
                <c:pt idx="179">
                  <c:v>133.10966866948877</c:v>
                </c:pt>
                <c:pt idx="180">
                  <c:v>133.70535583528863</c:v>
                </c:pt>
                <c:pt idx="181">
                  <c:v>134.29878259330994</c:v>
                </c:pt>
                <c:pt idx="182">
                  <c:v>134.88956912875645</c:v>
                </c:pt>
                <c:pt idx="183">
                  <c:v>135.47733786809101</c:v>
                </c:pt>
                <c:pt idx="184">
                  <c:v>136.06171434815232</c:v>
                </c:pt>
                <c:pt idx="185">
                  <c:v>136.642328060507</c:v>
                </c:pt>
                <c:pt idx="186">
                  <c:v>137.21881326585441</c:v>
                </c:pt>
                <c:pt idx="187">
                  <c:v>137.79080977364791</c:v>
                </c:pt>
                <c:pt idx="188">
                  <c:v>138.35796368249731</c:v>
                </c:pt>
                <c:pt idx="189">
                  <c:v>138.91992807735417</c:v>
                </c:pt>
                <c:pt idx="190">
                  <c:v>139.47636367995835</c:v>
                </c:pt>
                <c:pt idx="191">
                  <c:v>140.02693944952671</c:v>
                </c:pt>
                <c:pt idx="192">
                  <c:v>140.57133313118908</c:v>
                </c:pt>
                <c:pt idx="193">
                  <c:v>141.10923175020758</c:v>
                </c:pt>
                <c:pt idx="194">
                  <c:v>141.64033205055091</c:v>
                </c:pt>
                <c:pt idx="195">
                  <c:v>142.16434087692616</c:v>
                </c:pt>
                <c:pt idx="196">
                  <c:v>142.68097549988579</c:v>
                </c:pt>
                <c:pt idx="197">
                  <c:v>143.18996388412432</c:v>
                </c:pt>
                <c:pt idx="198">
                  <c:v>143.69104490055511</c:v>
                </c:pt>
                <c:pt idx="199">
                  <c:v>144.1839684831923</c:v>
                </c:pt>
                <c:pt idx="200">
                  <c:v>144.66849573227191</c:v>
                </c:pt>
                <c:pt idx="201">
                  <c:v>145.14439896541791</c:v>
                </c:pt>
                <c:pt idx="202">
                  <c:v>145.61146171897298</c:v>
                </c:pt>
                <c:pt idx="203">
                  <c:v>146.06947870191584</c:v>
                </c:pt>
                <c:pt idx="204">
                  <c:v>146.51825570501109</c:v>
                </c:pt>
                <c:pt idx="205">
                  <c:v>146.9576094680454</c:v>
                </c:pt>
                <c:pt idx="206">
                  <c:v>147.38736750815877</c:v>
                </c:pt>
                <c:pt idx="207">
                  <c:v>147.80736791238712</c:v>
                </c:pt>
                <c:pt idx="208">
                  <c:v>148.2174590976212</c:v>
                </c:pt>
                <c:pt idx="209">
                  <c:v>148.61749954120938</c:v>
                </c:pt>
                <c:pt idx="210">
                  <c:v>149.00735748545389</c:v>
                </c:pt>
                <c:pt idx="211">
                  <c:v>149.38691061921128</c:v>
                </c:pt>
                <c:pt idx="212">
                  <c:v>149.75604573976375</c:v>
                </c:pt>
                <c:pt idx="213">
                  <c:v>150.11465839804532</c:v>
                </c:pt>
                <c:pt idx="214">
                  <c:v>150.4626525302117</c:v>
                </c:pt>
                <c:pt idx="215">
                  <c:v>150.79994007842586</c:v>
                </c:pt>
                <c:pt idx="216">
                  <c:v>151.12644060359924</c:v>
                </c:pt>
                <c:pt idx="217">
                  <c:v>151.44208089269324</c:v>
                </c:pt>
                <c:pt idx="218">
                  <c:v>151.74679456302476</c:v>
                </c:pt>
                <c:pt idx="219">
                  <c:v>152.04052166587766</c:v>
                </c:pt>
                <c:pt idx="220">
                  <c:v>152.3232082915506</c:v>
                </c:pt>
                <c:pt idx="221">
                  <c:v>152.59480617781946</c:v>
                </c:pt>
                <c:pt idx="222">
                  <c:v>152.85527232363188</c:v>
                </c:pt>
                <c:pt idx="223">
                  <c:v>153.1045686096939</c:v>
                </c:pt>
                <c:pt idx="224">
                  <c:v>153.34266142745761</c:v>
                </c:pt>
                <c:pt idx="225">
                  <c:v>153.56952131787483</c:v>
                </c:pt>
                <c:pt idx="226">
                  <c:v>153.78512262113583</c:v>
                </c:pt>
                <c:pt idx="227">
                  <c:v>153.98944313848511</c:v>
                </c:pt>
                <c:pt idx="228">
                  <c:v>154.18246380708118</c:v>
                </c:pt>
                <c:pt idx="229">
                  <c:v>154.36416838874689</c:v>
                </c:pt>
                <c:pt idx="230">
                  <c:v>154.53454317335206</c:v>
                </c:pt>
                <c:pt idx="231">
                  <c:v>154.69357669747421</c:v>
                </c:pt>
                <c:pt idx="232">
                  <c:v>154.84125947888603</c:v>
                </c:pt>
                <c:pt idx="233">
                  <c:v>154.97758376734225</c:v>
                </c:pt>
                <c:pt idx="234">
                  <c:v>155.10254331206718</c:v>
                </c:pt>
                <c:pt idx="235">
                  <c:v>155.21613314627004</c:v>
                </c:pt>
                <c:pt idx="236">
                  <c:v>155.31834938897106</c:v>
                </c:pt>
                <c:pt idx="237">
                  <c:v>155.40918906436031</c:v>
                </c:pt>
                <c:pt idx="238">
                  <c:v>155.48864993887517</c:v>
                </c:pt>
                <c:pt idx="239">
                  <c:v>155.5567303761413</c:v>
                </c:pt>
                <c:pt idx="240">
                  <c:v>155.61342920989631</c:v>
                </c:pt>
                <c:pt idx="241">
                  <c:v>155.65874563498105</c:v>
                </c:pt>
                <c:pt idx="242">
                  <c:v>155.69267911647304</c:v>
                </c:pt>
                <c:pt idx="243">
                  <c:v>155.71522931700846</c:v>
                </c:pt>
                <c:pt idx="244">
                  <c:v>155.72639604233194</c:v>
                </c:pt>
                <c:pt idx="245">
                  <c:v>155.72617920510007</c:v>
                </c:pt>
                <c:pt idx="246">
                  <c:v>155.71457880695337</c:v>
                </c:pt>
                <c:pt idx="247">
                  <c:v>155.69159493886349</c:v>
                </c:pt>
                <c:pt idx="248">
                  <c:v>155.65722779975866</c:v>
                </c:pt>
                <c:pt idx="249">
                  <c:v>155.61147773341591</c:v>
                </c:pt>
                <c:pt idx="250">
                  <c:v>155.5543452836057</c:v>
                </c:pt>
                <c:pt idx="251">
                  <c:v>155.4858312674636</c:v>
                </c:pt>
                <c:pt idx="252">
                  <c:v>155.40593686704969</c:v>
                </c:pt>
                <c:pt idx="253">
                  <c:v>155.31466373904649</c:v>
                </c:pt>
                <c:pt idx="254">
                  <c:v>155.21201414252209</c:v>
                </c:pt>
                <c:pt idx="255">
                  <c:v>155.09799108467189</c:v>
                </c:pt>
                <c:pt idx="256">
                  <c:v>154.97259848442022</c:v>
                </c:pt>
                <c:pt idx="257">
                  <c:v>154.83584135373084</c:v>
                </c:pt>
                <c:pt idx="258">
                  <c:v>154.68772599644785</c:v>
                </c:pt>
                <c:pt idx="259">
                  <c:v>154.52826022443116</c:v>
                </c:pt>
                <c:pt idx="260">
                  <c:v>154.35745359071385</c:v>
                </c:pt>
                <c:pt idx="261">
                  <c:v>154.17531763934358</c:v>
                </c:pt>
                <c:pt idx="262">
                  <c:v>153.98186617150625</c:v>
                </c:pt>
                <c:pt idx="263">
                  <c:v>153.77711552745973</c:v>
                </c:pt>
                <c:pt idx="264">
                  <c:v>153.5610848837191</c:v>
                </c:pt>
                <c:pt idx="265">
                  <c:v>153.33379656485099</c:v>
                </c:pt>
                <c:pt idx="266">
                  <c:v>153.09527636912671</c:v>
                </c:pt>
                <c:pt idx="267">
                  <c:v>152.84555390718572</c:v>
                </c:pt>
                <c:pt idx="268">
                  <c:v>152.58466295273365</c:v>
                </c:pt>
                <c:pt idx="269">
                  <c:v>152.31264180418742</c:v>
                </c:pt>
                <c:pt idx="270">
                  <c:v>152.02953365603111</c:v>
                </c:pt>
                <c:pt idx="271">
                  <c:v>151.73538697852132</c:v>
                </c:pt>
                <c:pt idx="272">
                  <c:v>151.4302559042234</c:v>
                </c:pt>
                <c:pt idx="273">
                  <c:v>151.11420061971305</c:v>
                </c:pt>
                <c:pt idx="274">
                  <c:v>150.78728776062056</c:v>
                </c:pt>
                <c:pt idx="275">
                  <c:v>150.44959080803378</c:v>
                </c:pt>
                <c:pt idx="276">
                  <c:v>150.10119048411977</c:v>
                </c:pt>
                <c:pt idx="277">
                  <c:v>149.742175144664</c:v>
                </c:pt>
                <c:pt idx="278">
                  <c:v>149.3726411660696</c:v>
                </c:pt>
                <c:pt idx="279">
                  <c:v>148.99269332421341</c:v>
                </c:pt>
                <c:pt idx="280">
                  <c:v>148.60244516240817</c:v>
                </c:pt>
                <c:pt idx="281">
                  <c:v>148.20201934559762</c:v>
                </c:pt>
                <c:pt idx="282">
                  <c:v>147.79154799779153</c:v>
                </c:pt>
                <c:pt idx="283">
                  <c:v>147.37117301965108</c:v>
                </c:pt>
                <c:pt idx="284">
                  <c:v>146.9410463830572</c:v>
                </c:pt>
                <c:pt idx="285">
                  <c:v>146.5013303994474</c:v>
                </c:pt>
                <c:pt idx="286">
                  <c:v>146.05219795867814</c:v>
                </c:pt>
                <c:pt idx="287">
                  <c:v>145.59383273517321</c:v>
                </c:pt>
                <c:pt idx="288">
                  <c:v>145.12642935816984</c:v>
                </c:pt>
                <c:pt idx="289">
                  <c:v>144.65019354293784</c:v>
                </c:pt>
                <c:pt idx="290">
                  <c:v>144.16534217997693</c:v>
                </c:pt>
                <c:pt idx="291">
                  <c:v>143.67210337933977</c:v>
                </c:pt>
                <c:pt idx="292">
                  <c:v>143.17071646744472</c:v>
                </c:pt>
                <c:pt idx="293">
                  <c:v>142.66143193396857</c:v>
                </c:pt>
                <c:pt idx="294">
                  <c:v>142.14451132670715</c:v>
                </c:pt>
                <c:pt idx="295">
                  <c:v>141.62022709261495</c:v>
                </c:pt>
                <c:pt idx="296">
                  <c:v>141.08886236360243</c:v>
                </c:pt>
                <c:pt idx="297">
                  <c:v>140.55071068608365</c:v>
                </c:pt>
                <c:pt idx="298">
                  <c:v>140.00607569369859</c:v>
                </c:pt>
                <c:pt idx="299">
                  <c:v>139.45527072311774</c:v>
                </c:pt>
                <c:pt idx="300">
                  <c:v>138.89861837332811</c:v>
                </c:pt>
                <c:pt idx="301">
                  <c:v>138.33645000931872</c:v>
                </c:pt>
                <c:pt idx="302">
                  <c:v>137.7691052116152</c:v>
                </c:pt>
                <c:pt idx="303">
                  <c:v>137.19693117364486</c:v>
                </c:pt>
                <c:pt idx="304">
                  <c:v>136.62028204945287</c:v>
                </c:pt>
                <c:pt idx="305">
                  <c:v>136.03951825480144</c:v>
                </c:pt>
                <c:pt idx="306">
                  <c:v>135.45500572519853</c:v>
                </c:pt>
                <c:pt idx="307">
                  <c:v>134.86711513486603</c:v>
                </c:pt>
                <c:pt idx="308">
                  <c:v>134.27622108110367</c:v>
                </c:pt>
                <c:pt idx="309">
                  <c:v>133.68270123889738</c:v>
                </c:pt>
                <c:pt idx="310">
                  <c:v>133.08693549096407</c:v>
                </c:pt>
                <c:pt idx="311">
                  <c:v>132.48930503871438</c:v>
                </c:pt>
                <c:pt idx="312">
                  <c:v>131.89019149983869</c:v>
                </c:pt>
                <c:pt idx="313">
                  <c:v>131.28997599837902</c:v>
                </c:pt>
                <c:pt idx="314">
                  <c:v>130.68903825323881</c:v>
                </c:pt>
                <c:pt idx="315">
                  <c:v>130.08775567110212</c:v>
                </c:pt>
                <c:pt idx="316">
                  <c:v>129.48650244967169</c:v>
                </c:pt>
                <c:pt idx="317">
                  <c:v>128.88564869702205</c:v>
                </c:pt>
                <c:pt idx="318">
                  <c:v>128.28555957265604</c:v>
                </c:pt>
                <c:pt idx="319">
                  <c:v>127.68659445560908</c:v>
                </c:pt>
                <c:pt idx="320">
                  <c:v>127.08910614461902</c:v>
                </c:pt>
                <c:pt idx="321">
                  <c:v>126.49344009501065</c:v>
                </c:pt>
                <c:pt idx="322">
                  <c:v>125.89993369652804</c:v>
                </c:pt>
                <c:pt idx="323">
                  <c:v>125.30891559588532</c:v>
                </c:pt>
                <c:pt idx="324">
                  <c:v>124.72070506732277</c:v>
                </c:pt>
                <c:pt idx="325">
                  <c:v>124.13561143394163</c:v>
                </c:pt>
                <c:pt idx="326">
                  <c:v>123.55393354205934</c:v>
                </c:pt>
                <c:pt idx="327">
                  <c:v>122.97595929030086</c:v>
                </c:pt>
                <c:pt idx="328">
                  <c:v>122.40196521460921</c:v>
                </c:pt>
                <c:pt idx="329">
                  <c:v>121.83221612982592</c:v>
                </c:pt>
                <c:pt idx="330">
                  <c:v>121.2669648280073</c:v>
                </c:pt>
                <c:pt idx="331">
                  <c:v>120.706451833137</c:v>
                </c:pt>
                <c:pt idx="332">
                  <c:v>120.15090521145767</c:v>
                </c:pt>
                <c:pt idx="333">
                  <c:v>119.6005404362148</c:v>
                </c:pt>
                <c:pt idx="334">
                  <c:v>119.05556030522602</c:v>
                </c:pt>
                <c:pt idx="335">
                  <c:v>118.51615490934253</c:v>
                </c:pt>
                <c:pt idx="336">
                  <c:v>117.98250164956812</c:v>
                </c:pt>
                <c:pt idx="337">
                  <c:v>117.45476530034101</c:v>
                </c:pt>
                <c:pt idx="338">
                  <c:v>116.93309811627053</c:v>
                </c:pt>
                <c:pt idx="339">
                  <c:v>116.41763997944444</c:v>
                </c:pt>
                <c:pt idx="340">
                  <c:v>115.90851858429559</c:v>
                </c:pt>
                <c:pt idx="341">
                  <c:v>115.40584965691919</c:v>
                </c:pt>
                <c:pt idx="342">
                  <c:v>114.90973720569299</c:v>
                </c:pt>
                <c:pt idx="343">
                  <c:v>114.42027380001547</c:v>
                </c:pt>
                <c:pt idx="344">
                  <c:v>113.93754087401416</c:v>
                </c:pt>
                <c:pt idx="345">
                  <c:v>113.46160905210293</c:v>
                </c:pt>
                <c:pt idx="346">
                  <c:v>112.99253849335125</c:v>
                </c:pt>
                <c:pt idx="347">
                  <c:v>112.53037925171432</c:v>
                </c:pt>
                <c:pt idx="348">
                  <c:v>112.07517164929163</c:v>
                </c:pt>
                <c:pt idx="349">
                  <c:v>111.62694665990406</c:v>
                </c:pt>
                <c:pt idx="350">
                  <c:v>111.18572630043647</c:v>
                </c:pt>
                <c:pt idx="351">
                  <c:v>110.75152402752849</c:v>
                </c:pt>
                <c:pt idx="352">
                  <c:v>110.32434513736847</c:v>
                </c:pt>
                <c:pt idx="353">
                  <c:v>109.90418716650882</c:v>
                </c:pt>
                <c:pt idx="354">
                  <c:v>109.49104029178449</c:v>
                </c:pt>
                <c:pt idx="355">
                  <c:v>109.08488772759097</c:v>
                </c:pt>
                <c:pt idx="356">
                  <c:v>108.68570611893529</c:v>
                </c:pt>
                <c:pt idx="357">
                  <c:v>108.2934659288476</c:v>
                </c:pt>
                <c:pt idx="358">
                  <c:v>107.90813181889268</c:v>
                </c:pt>
                <c:pt idx="359">
                  <c:v>107.52966302167286</c:v>
                </c:pt>
                <c:pt idx="360">
                  <c:v>107.15801370436668</c:v>
                </c:pt>
                <c:pt idx="361">
                  <c:v>106.79313332248064</c:v>
                </c:pt>
                <c:pt idx="362">
                  <c:v>106.43496696312461</c:v>
                </c:pt>
                <c:pt idx="363">
                  <c:v>106.08345567724523</c:v>
                </c:pt>
                <c:pt idx="364">
                  <c:v>105.73853680036528</c:v>
                </c:pt>
                <c:pt idx="365">
                  <c:v>105.40014426148049</c:v>
                </c:pt>
                <c:pt idx="366">
                  <c:v>105.06820887986754</c:v>
                </c:pt>
                <c:pt idx="367">
                  <c:v>104.74265864963914</c:v>
                </c:pt>
                <c:pt idx="368">
                  <c:v>104.42341901196829</c:v>
                </c:pt>
                <c:pt idx="369">
                  <c:v>104.11041311497156</c:v>
                </c:pt>
                <c:pt idx="370">
                  <c:v>103.80356206130861</c:v>
                </c:pt>
                <c:pt idx="371">
                  <c:v>103.50278514361072</c:v>
                </c:pt>
                <c:pt idx="372">
                  <c:v>103.20800006790211</c:v>
                </c:pt>
                <c:pt idx="373">
                  <c:v>102.91912316522235</c:v>
                </c:pt>
                <c:pt idx="374">
                  <c:v>102.63606959169248</c:v>
                </c:pt>
                <c:pt idx="375">
                  <c:v>102.35875351730373</c:v>
                </c:pt>
                <c:pt idx="376">
                  <c:v>102.08708830373109</c:v>
                </c:pt>
                <c:pt idx="377">
                  <c:v>101.82098667149744</c:v>
                </c:pt>
                <c:pt idx="378">
                  <c:v>101.56036085683048</c:v>
                </c:pt>
                <c:pt idx="379">
                  <c:v>101.30512275856802</c:v>
                </c:pt>
                <c:pt idx="380">
                  <c:v>101.05518407547954</c:v>
                </c:pt>
                <c:pt idx="381">
                  <c:v>100.81045643437359</c:v>
                </c:pt>
                <c:pt idx="382">
                  <c:v>100.57085150936959</c:v>
                </c:pt>
                <c:pt idx="383">
                  <c:v>100.33628113270983</c:v>
                </c:pt>
                <c:pt idx="384">
                  <c:v>100.10665739748839</c:v>
                </c:pt>
                <c:pt idx="385">
                  <c:v>99.881892752670623</c:v>
                </c:pt>
                <c:pt idx="386">
                  <c:v>99.661900090770644</c:v>
                </c:pt>
                <c:pt idx="387">
                  <c:v>99.446592828548631</c:v>
                </c:pt>
                <c:pt idx="388">
                  <c:v>99.235884981084297</c:v>
                </c:pt>
                <c:pt idx="389">
                  <c:v>99.029691229570645</c:v>
                </c:pt>
                <c:pt idx="390">
                  <c:v>98.827926983166151</c:v>
                </c:pt>
                <c:pt idx="391">
                  <c:v>98.630508435231633</c:v>
                </c:pt>
                <c:pt idx="392">
                  <c:v>98.437352614267581</c:v>
                </c:pt>
                <c:pt idx="393">
                  <c:v>98.24837742985811</c:v>
                </c:pt>
                <c:pt idx="394">
                  <c:v>98.063501713914647</c:v>
                </c:pt>
                <c:pt idx="395">
                  <c:v>97.88264525750175</c:v>
                </c:pt>
                <c:pt idx="396">
                  <c:v>97.705728843517548</c:v>
                </c:pt>
                <c:pt idx="397">
                  <c:v>97.532674275486187</c:v>
                </c:pt>
                <c:pt idx="398">
                  <c:v>97.363404402711865</c:v>
                </c:pt>
                <c:pt idx="399">
                  <c:v>97.197843142030194</c:v>
                </c:pt>
                <c:pt idx="400">
                  <c:v>97.035915496383296</c:v>
                </c:pt>
                <c:pt idx="401">
                  <c:v>96.877547570432327</c:v>
                </c:pt>
                <c:pt idx="402">
                  <c:v>96.722666583411382</c:v>
                </c:pt>
                <c:pt idx="403">
                  <c:v>96.571200879416878</c:v>
                </c:pt>
                <c:pt idx="404">
                  <c:v>96.423079935314902</c:v>
                </c:pt>
                <c:pt idx="405">
                  <c:v>96.2782343664406</c:v>
                </c:pt>
                <c:pt idx="406">
                  <c:v>96.136595930252938</c:v>
                </c:pt>
                <c:pt idx="407">
                  <c:v>95.998097528100573</c:v>
                </c:pt>
                <c:pt idx="408">
                  <c:v>95.862673205244306</c:v>
                </c:pt>
                <c:pt idx="409">
                  <c:v>95.730258149274007</c:v>
                </c:pt>
                <c:pt idx="410">
                  <c:v>95.6007886870497</c:v>
                </c:pt>
                <c:pt idx="411">
                  <c:v>95.474202280288551</c:v>
                </c:pt>
                <c:pt idx="412">
                  <c:v>95.350437519912589</c:v>
                </c:pt>
                <c:pt idx="413">
                  <c:v>95.229434119264198</c:v>
                </c:pt>
                <c:pt idx="414">
                  <c:v>95.11113290629082</c:v>
                </c:pt>
                <c:pt idx="415">
                  <c:v>94.995475814792783</c:v>
                </c:pt>
                <c:pt idx="416">
                  <c:v>94.882405874822595</c:v>
                </c:pt>
                <c:pt idx="417">
                  <c:v>94.771867202319584</c:v>
                </c:pt>
                <c:pt idx="418">
                  <c:v>94.663804988055105</c:v>
                </c:pt>
                <c:pt idx="419">
                  <c:v>94.558165485962476</c:v>
                </c:pt>
                <c:pt idx="420">
                  <c:v>94.454896000917429</c:v>
                </c:pt>
                <c:pt idx="421">
                  <c:v>94.353944876032656</c:v>
                </c:pt>
                <c:pt idx="422">
                  <c:v>94.255261479524378</c:v>
                </c:pt>
                <c:pt idx="423">
                  <c:v>94.158796191204985</c:v>
                </c:pt>
                <c:pt idx="424">
                  <c:v>94.064500388652831</c:v>
                </c:pt>
                <c:pt idx="425">
                  <c:v>93.972326433105195</c:v>
                </c:pt>
                <c:pt idx="426">
                  <c:v>93.882227655118385</c:v>
                </c:pt>
                <c:pt idx="427">
                  <c:v>93.794158340034272</c:v>
                </c:pt>
                <c:pt idx="428">
                  <c:v>93.708073713292151</c:v>
                </c:pt>
                <c:pt idx="429">
                  <c:v>93.62392992561756</c:v>
                </c:pt>
                <c:pt idx="430">
                  <c:v>93.541684038122625</c:v>
                </c:pt>
                <c:pt idx="431">
                  <c:v>93.461294007344719</c:v>
                </c:pt>
                <c:pt idx="432">
                  <c:v>93.382718670251933</c:v>
                </c:pt>
                <c:pt idx="433">
                  <c:v>93.305917729238828</c:v>
                </c:pt>
                <c:pt idx="434">
                  <c:v>93.230851737136106</c:v>
                </c:pt>
                <c:pt idx="435">
                  <c:v>93.157482082254276</c:v>
                </c:pt>
                <c:pt idx="436">
                  <c:v>93.085770973480166</c:v>
                </c:pt>
                <c:pt idx="437">
                  <c:v>93.015681425444441</c:v>
                </c:pt>
                <c:pt idx="438">
                  <c:v>92.947177243774419</c:v>
                </c:pt>
                <c:pt idx="439">
                  <c:v>92.880223010447978</c:v>
                </c:pt>
                <c:pt idx="440">
                  <c:v>92.814784069260384</c:v>
                </c:pt>
                <c:pt idx="441">
                  <c:v>92.750826511416136</c:v>
                </c:pt>
                <c:pt idx="442">
                  <c:v>92.688317161256435</c:v>
                </c:pt>
                <c:pt idx="443">
                  <c:v>92.62722356213132</c:v>
                </c:pt>
                <c:pt idx="444">
                  <c:v>92.567513962425224</c:v>
                </c:pt>
                <c:pt idx="445">
                  <c:v>92.509157301743315</c:v>
                </c:pt>
                <c:pt idx="446">
                  <c:v>92.452123197265067</c:v>
                </c:pt>
                <c:pt idx="447">
                  <c:v>92.396381930271005</c:v>
                </c:pt>
                <c:pt idx="448">
                  <c:v>92.341904432847656</c:v>
                </c:pt>
                <c:pt idx="449">
                  <c:v>92.28866227477495</c:v>
                </c:pt>
                <c:pt idx="450">
                  <c:v>92.236627650599885</c:v>
                </c:pt>
                <c:pt idx="451">
                  <c:v>92.185773366899411</c:v>
                </c:pt>
                <c:pt idx="452">
                  <c:v>92.136072829735511</c:v>
                </c:pt>
                <c:pt idx="453">
                  <c:v>92.087500032303723</c:v>
                </c:pt>
                <c:pt idx="454">
                  <c:v>92.040029542777788</c:v>
                </c:pt>
                <c:pt idx="455">
                  <c:v>91.993636492350532</c:v>
                </c:pt>
                <c:pt idx="456">
                  <c:v>91.948296563472695</c:v>
                </c:pt>
                <c:pt idx="457">
                  <c:v>91.903985978289228</c:v>
                </c:pt>
                <c:pt idx="458">
                  <c:v>91.860681487274107</c:v>
                </c:pt>
                <c:pt idx="459">
                  <c:v>91.818360358062478</c:v>
                </c:pt>
                <c:pt idx="460">
                  <c:v>91.777000364480401</c:v>
                </c:pt>
                <c:pt idx="461">
                  <c:v>91.736579775771176</c:v>
                </c:pt>
                <c:pt idx="462">
                  <c:v>91.697077346017082</c:v>
                </c:pt>
                <c:pt idx="463">
                  <c:v>91.658472303755744</c:v>
                </c:pt>
                <c:pt idx="464">
                  <c:v>91.620744341789461</c:v>
                </c:pt>
                <c:pt idx="465">
                  <c:v>91.583873607186106</c:v>
                </c:pt>
                <c:pt idx="466">
                  <c:v>91.547840691469901</c:v>
                </c:pt>
                <c:pt idx="467">
                  <c:v>91.512626621000123</c:v>
                </c:pt>
                <c:pt idx="468">
                  <c:v>91.478212847536014</c:v>
                </c:pt>
                <c:pt idx="469">
                  <c:v>91.444581238985592</c:v>
                </c:pt>
                <c:pt idx="470">
                  <c:v>91.411714070336444</c:v>
                </c:pt>
                <c:pt idx="471">
                  <c:v>91.379594014766027</c:v>
                </c:pt>
                <c:pt idx="472">
                  <c:v>91.348204134929432</c:v>
                </c:pt>
                <c:pt idx="473">
                  <c:v>91.317527874421955</c:v>
                </c:pt>
                <c:pt idx="474">
                  <c:v>91.287549049414281</c:v>
                </c:pt>
                <c:pt idx="475">
                  <c:v>91.258251840457604</c:v>
                </c:pt>
                <c:pt idx="476">
                  <c:v>91.229620784456372</c:v>
                </c:pt>
                <c:pt idx="477">
                  <c:v>91.201640766805866</c:v>
                </c:pt>
                <c:pt idx="478">
                  <c:v>91.174297013692325</c:v>
                </c:pt>
                <c:pt idx="479">
                  <c:v>91.14757508455267</c:v>
                </c:pt>
                <c:pt idx="480">
                  <c:v>91.121460864691585</c:v>
                </c:pt>
                <c:pt idx="481">
                  <c:v>91.095940558053044</c:v>
                </c:pt>
                <c:pt idx="482">
                  <c:v>91.071000680143825</c:v>
                </c:pt>
                <c:pt idx="483">
                  <c:v>91.046628051106396</c:v>
                </c:pt>
                <c:pt idx="484">
                  <c:v>91.02280978893836</c:v>
                </c:pt>
                <c:pt idx="485">
                  <c:v>90.999533302856179</c:v>
                </c:pt>
                <c:pt idx="486">
                  <c:v>90.976786286800248</c:v>
                </c:pt>
                <c:pt idx="487">
                  <c:v>90.954556713078958</c:v>
                </c:pt>
                <c:pt idx="488">
                  <c:v>90.932832826149038</c:v>
                </c:pt>
                <c:pt idx="489">
                  <c:v>90.911603136529791</c:v>
                </c:pt>
                <c:pt idx="490">
                  <c:v>90.890856414848486</c:v>
                </c:pt>
                <c:pt idx="491">
                  <c:v>90.87058168601456</c:v>
                </c:pt>
                <c:pt idx="492">
                  <c:v>90.850768223520177</c:v>
                </c:pt>
                <c:pt idx="493">
                  <c:v>90.831405543864435</c:v>
                </c:pt>
                <c:pt idx="494">
                  <c:v>90.812483401099158</c:v>
                </c:pt>
                <c:pt idx="495">
                  <c:v>90.793991781493617</c:v>
                </c:pt>
                <c:pt idx="496">
                  <c:v>90.775920898315817</c:v>
                </c:pt>
                <c:pt idx="497">
                  <c:v>90.758261186728305</c:v>
                </c:pt>
                <c:pt idx="498">
                  <c:v>90.741003298795732</c:v>
                </c:pt>
                <c:pt idx="499">
                  <c:v>90.72413809860231</c:v>
                </c:pt>
                <c:pt idx="500">
                  <c:v>90.707656657476662</c:v>
                </c:pt>
                <c:pt idx="501">
                  <c:v>90.691550249322134</c:v>
                </c:pt>
                <c:pt idx="502">
                  <c:v>90.675810346049957</c:v>
                </c:pt>
                <c:pt idx="503">
                  <c:v>90.660428613113623</c:v>
                </c:pt>
                <c:pt idx="504">
                  <c:v>90.645396905142093</c:v>
                </c:pt>
                <c:pt idx="505">
                  <c:v>90.630707261669713</c:v>
                </c:pt>
                <c:pt idx="506">
                  <c:v>90.616351902961071</c:v>
                </c:pt>
                <c:pt idx="507">
                  <c:v>90.602323225928558</c:v>
                </c:pt>
                <c:pt idx="508">
                  <c:v>90.58861380014072</c:v>
                </c:pt>
                <c:pt idx="509">
                  <c:v>90.575216363919608</c:v>
                </c:pt>
                <c:pt idx="510">
                  <c:v>90.562123820525088</c:v>
                </c:pt>
                <c:pt idx="511">
                  <c:v>90.549329234424235</c:v>
                </c:pt>
                <c:pt idx="512">
                  <c:v>90.536825827644194</c:v>
                </c:pt>
                <c:pt idx="513">
                  <c:v>90.524606976206414</c:v>
                </c:pt>
                <c:pt idx="514">
                  <c:v>90.512666206640802</c:v>
                </c:pt>
                <c:pt idx="515">
                  <c:v>90.500997192577827</c:v>
                </c:pt>
                <c:pt idx="516">
                  <c:v>90.489593751417019</c:v>
                </c:pt>
                <c:pt idx="517">
                  <c:v>90.478449841070187</c:v>
                </c:pt>
                <c:pt idx="518">
                  <c:v>90.467559556777701</c:v>
                </c:pt>
                <c:pt idx="519">
                  <c:v>90.456917127996306</c:v>
                </c:pt>
                <c:pt idx="520">
                  <c:v>90.446516915356781</c:v>
                </c:pt>
                <c:pt idx="521">
                  <c:v>90.436353407690021</c:v>
                </c:pt>
                <c:pt idx="522">
                  <c:v>90.426421219120087</c:v>
                </c:pt>
                <c:pt idx="523">
                  <c:v>90.416715086222581</c:v>
                </c:pt>
                <c:pt idx="524">
                  <c:v>90.407229865247047</c:v>
                </c:pt>
                <c:pt idx="525">
                  <c:v>90.397960529401956</c:v>
                </c:pt>
                <c:pt idx="526">
                  <c:v>90.388902166200893</c:v>
                </c:pt>
                <c:pt idx="527">
                  <c:v>90.380049974868555</c:v>
                </c:pt>
                <c:pt idx="528">
                  <c:v>90.371399263805287</c:v>
                </c:pt>
                <c:pt idx="529">
                  <c:v>90.362945448108846</c:v>
                </c:pt>
                <c:pt idx="530">
                  <c:v>90.354684047152077</c:v>
                </c:pt>
                <c:pt idx="531">
                  <c:v>90.346610682215413</c:v>
                </c:pt>
                <c:pt idx="532">
                  <c:v>90.338721074172639</c:v>
                </c:pt>
                <c:pt idx="533">
                  <c:v>90.331011041229274</c:v>
                </c:pt>
                <c:pt idx="534">
                  <c:v>90.323476496711734</c:v>
                </c:pt>
                <c:pt idx="535">
                  <c:v>90.316113446906826</c:v>
                </c:pt>
                <c:pt idx="536">
                  <c:v>90.308917988949872</c:v>
                </c:pt>
                <c:pt idx="537">
                  <c:v>90.301886308760743</c:v>
                </c:pt>
                <c:pt idx="538">
                  <c:v>90.295014679026565</c:v>
                </c:pt>
                <c:pt idx="539">
                  <c:v>90.288299457230153</c:v>
                </c:pt>
                <c:pt idx="540">
                  <c:v>90.281737083722987</c:v>
                </c:pt>
                <c:pt idx="541">
                  <c:v>90.275324079841994</c:v>
                </c:pt>
              </c:numCache>
            </c:numRef>
          </c:yVal>
          <c:smooth val="1"/>
          <c:extLst>
            <c:ext xmlns:c16="http://schemas.microsoft.com/office/drawing/2014/chart" uri="{C3380CC4-5D6E-409C-BE32-E72D297353CC}">
              <c16:uniqueId val="{00000001-69B3-4D32-87DC-999910D89784}"/>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60.765005179529226</c:v>
                </c:pt>
                <c:pt idx="1">
                  <c:v>60.564177178603764</c:v>
                </c:pt>
                <c:pt idx="2">
                  <c:v>60.36331034765206</c:v>
                </c:pt>
                <c:pt idx="3">
                  <c:v>60.162402875148572</c:v>
                </c:pt>
                <c:pt idx="4">
                  <c:v>59.961452865962542</c:v>
                </c:pt>
                <c:pt idx="5">
                  <c:v>59.760458337586755</c:v>
                </c:pt>
                <c:pt idx="6">
                  <c:v>59.559417216203691</c:v>
                </c:pt>
                <c:pt idx="7">
                  <c:v>59.358327332585183</c:v>
                </c:pt>
                <c:pt idx="8">
                  <c:v>59.157186417816796</c:v>
                </c:pt>
                <c:pt idx="9">
                  <c:v>58.95599209884189</c:v>
                </c:pt>
                <c:pt idx="10">
                  <c:v>58.754741893819258</c:v>
                </c:pt>
                <c:pt idx="11">
                  <c:v>58.553433207285835</c:v>
                </c:pt>
                <c:pt idx="12">
                  <c:v>58.352063325119907</c:v>
                </c:pt>
                <c:pt idx="13">
                  <c:v>58.150629409295746</c:v>
                </c:pt>
                <c:pt idx="14">
                  <c:v>57.949128492424919</c:v>
                </c:pt>
                <c:pt idx="15">
                  <c:v>57.747557472074561</c:v>
                </c:pt>
                <c:pt idx="16">
                  <c:v>57.545913104858485</c:v>
                </c:pt>
                <c:pt idx="17">
                  <c:v>57.344192000290931</c:v>
                </c:pt>
                <c:pt idx="18">
                  <c:v>57.142390614398273</c:v>
                </c:pt>
                <c:pt idx="19">
                  <c:v>56.940505243079606</c:v>
                </c:pt>
                <c:pt idx="20">
                  <c:v>56.738532015210588</c:v>
                </c:pt>
                <c:pt idx="21">
                  <c:v>56.536466885481964</c:v>
                </c:pt>
                <c:pt idx="22">
                  <c:v>56.334305626967833</c:v>
                </c:pt>
                <c:pt idx="23">
                  <c:v>56.132043823413994</c:v>
                </c:pt>
                <c:pt idx="24">
                  <c:v>55.929676861243067</c:v>
                </c:pt>
                <c:pt idx="25">
                  <c:v>55.727199921267719</c:v>
                </c:pt>
                <c:pt idx="26">
                  <c:v>55.524607970106537</c:v>
                </c:pt>
                <c:pt idx="27">
                  <c:v>55.321895751297717</c:v>
                </c:pt>
                <c:pt idx="28">
                  <c:v>55.11905777610437</c:v>
                </c:pt>
                <c:pt idx="29">
                  <c:v>54.916088314007581</c:v>
                </c:pt>
                <c:pt idx="30">
                  <c:v>54.712981382882916</c:v>
                </c:pt>
                <c:pt idx="31">
                  <c:v>54.509730738856852</c:v>
                </c:pt>
                <c:pt idx="32">
                  <c:v>54.306329865841207</c:v>
                </c:pt>
                <c:pt idx="33">
                  <c:v>54.102771964743582</c:v>
                </c:pt>
                <c:pt idx="34">
                  <c:v>53.899049942354161</c:v>
                </c:pt>
                <c:pt idx="35">
                  <c:v>53.69515639990756</c:v>
                </c:pt>
                <c:pt idx="36">
                  <c:v>53.491083621325103</c:v>
                </c:pt>
                <c:pt idx="37">
                  <c:v>53.286823561137311</c:v>
                </c:pt>
                <c:pt idx="38">
                  <c:v>53.082367832094633</c:v>
                </c:pt>
                <c:pt idx="39">
                  <c:v>52.877707692472377</c:v>
                </c:pt>
                <c:pt idx="40">
                  <c:v>52.672834033078772</c:v>
                </c:pt>
                <c:pt idx="41">
                  <c:v>52.467737363977633</c:v>
                </c:pt>
                <c:pt idx="42">
                  <c:v>52.262407800938604</c:v>
                </c:pt>
                <c:pt idx="43">
                  <c:v>52.056835051633719</c:v>
                </c:pt>
                <c:pt idx="44">
                  <c:v>51.851008401596431</c:v>
                </c:pt>
                <c:pt idx="45">
                  <c:v>51.644916699967894</c:v>
                </c:pt>
                <c:pt idx="46">
                  <c:v>51.438548345055494</c:v>
                </c:pt>
                <c:pt idx="47">
                  <c:v>51.231891269733524</c:v>
                </c:pt>
                <c:pt idx="48">
                  <c:v>51.024932926719544</c:v>
                </c:pt>
                <c:pt idx="49">
                  <c:v>50.817660273765746</c:v>
                </c:pt>
                <c:pt idx="50">
                  <c:v>50.610059758805725</c:v>
                </c:pt>
                <c:pt idx="51">
                  <c:v>50.402117305106479</c:v>
                </c:pt>
                <c:pt idx="52">
                  <c:v>50.1938182964779</c:v>
                </c:pt>
                <c:pt idx="53">
                  <c:v>49.985147562599096</c:v>
                </c:pt>
                <c:pt idx="54">
                  <c:v>49.776089364524758</c:v>
                </c:pt>
                <c:pt idx="55">
                  <c:v>49.566627380445425</c:v>
                </c:pt>
                <c:pt idx="56">
                  <c:v>49.356744691776335</c:v>
                </c:pt>
                <c:pt idx="57">
                  <c:v>49.146423769663052</c:v>
                </c:pt>
                <c:pt idx="58">
                  <c:v>48.935646461993343</c:v>
                </c:pt>
                <c:pt idx="59">
                  <c:v>48.724393981016696</c:v>
                </c:pt>
                <c:pt idx="60">
                  <c:v>48.512646891679324</c:v>
                </c:pt>
                <c:pt idx="61">
                  <c:v>48.300385100789747</c:v>
                </c:pt>
                <c:pt idx="62">
                  <c:v>48.087587847140995</c:v>
                </c:pt>
                <c:pt idx="63">
                  <c:v>47.87423369272004</c:v>
                </c:pt>
                <c:pt idx="64">
                  <c:v>47.660300515147668</c:v>
                </c:pt>
                <c:pt idx="65">
                  <c:v>47.445765501499153</c:v>
                </c:pt>
                <c:pt idx="66">
                  <c:v>47.230605143662203</c:v>
                </c:pt>
                <c:pt idx="67">
                  <c:v>47.014795235401834</c:v>
                </c:pt>
                <c:pt idx="68">
                  <c:v>46.798310871306292</c:v>
                </c:pt>
                <c:pt idx="69">
                  <c:v>46.581126447797267</c:v>
                </c:pt>
                <c:pt idx="70">
                  <c:v>46.363215666394019</c:v>
                </c:pt>
                <c:pt idx="71">
                  <c:v>46.14455153943063</c:v>
                </c:pt>
                <c:pt idx="72">
                  <c:v>45.925106398426543</c:v>
                </c:pt>
                <c:pt idx="73">
                  <c:v>45.704851905320616</c:v>
                </c:pt>
                <c:pt idx="74">
                  <c:v>45.483759066779413</c:v>
                </c:pt>
                <c:pt idx="75">
                  <c:v>45.261798251793252</c:v>
                </c:pt>
                <c:pt idx="76">
                  <c:v>45.038939212775702</c:v>
                </c:pt>
                <c:pt idx="77">
                  <c:v>44.815151110381336</c:v>
                </c:pt>
                <c:pt idx="78">
                  <c:v>44.590402542251141</c:v>
                </c:pt>
                <c:pt idx="79">
                  <c:v>44.364661575893876</c:v>
                </c:pt>
                <c:pt idx="80">
                  <c:v>44.137895785901222</c:v>
                </c:pt>
                <c:pt idx="81">
                  <c:v>43.910072295686447</c:v>
                </c:pt>
                <c:pt idx="82">
                  <c:v>43.681157823922462</c:v>
                </c:pt>
                <c:pt idx="83">
                  <c:v>43.451118735839557</c:v>
                </c:pt>
                <c:pt idx="84">
                  <c:v>43.219921099524548</c:v>
                </c:pt>
                <c:pt idx="85">
                  <c:v>42.987530747341253</c:v>
                </c:pt>
                <c:pt idx="86">
                  <c:v>42.753913342564275</c:v>
                </c:pt>
                <c:pt idx="87">
                  <c:v>42.519034451292733</c:v>
                </c:pt>
                <c:pt idx="88">
                  <c:v>42.282859619673808</c:v>
                </c:pt>
                <c:pt idx="89">
                  <c:v>42.045354456433401</c:v>
                </c:pt>
                <c:pt idx="90">
                  <c:v>41.806484720668607</c:v>
                </c:pt>
                <c:pt idx="91">
                  <c:v>41.566216414817497</c:v>
                </c:pt>
                <c:pt idx="92">
                  <c:v>41.324515882672443</c:v>
                </c:pt>
                <c:pt idx="93">
                  <c:v>41.08134991225689</c:v>
                </c:pt>
                <c:pt idx="94">
                  <c:v>40.836685843334649</c:v>
                </c:pt>
                <c:pt idx="95">
                  <c:v>40.590491679268233</c:v>
                </c:pt>
                <c:pt idx="96">
                  <c:v>40.342736202887068</c:v>
                </c:pt>
                <c:pt idx="97">
                  <c:v>40.093389095976207</c:v>
                </c:pt>
                <c:pt idx="98">
                  <c:v>39.842421061935937</c:v>
                </c:pt>
                <c:pt idx="99">
                  <c:v>39.58980395111422</c:v>
                </c:pt>
                <c:pt idx="100">
                  <c:v>39.335510888259314</c:v>
                </c:pt>
                <c:pt idx="101">
                  <c:v>39.079516401488512</c:v>
                </c:pt>
                <c:pt idx="102">
                  <c:v>38.821796552128362</c:v>
                </c:pt>
                <c:pt idx="103">
                  <c:v>38.562329064731671</c:v>
                </c:pt>
                <c:pt idx="104">
                  <c:v>38.301093456547747</c:v>
                </c:pt>
                <c:pt idx="105">
                  <c:v>38.038071165683959</c:v>
                </c:pt>
                <c:pt idx="106">
                  <c:v>37.773245677178842</c:v>
                </c:pt>
                <c:pt idx="107">
                  <c:v>37.50660264618525</c:v>
                </c:pt>
                <c:pt idx="108">
                  <c:v>37.238130017456577</c:v>
                </c:pt>
                <c:pt idx="109">
                  <c:v>36.967818140326983</c:v>
                </c:pt>
                <c:pt idx="110">
                  <c:v>36.6956598783879</c:v>
                </c:pt>
                <c:pt idx="111">
                  <c:v>36.42165071307862</c:v>
                </c:pt>
                <c:pt idx="112">
                  <c:v>36.145788840438286</c:v>
                </c:pt>
                <c:pt idx="113">
                  <c:v>35.868075260302312</c:v>
                </c:pt>
                <c:pt idx="114">
                  <c:v>35.588513857272311</c:v>
                </c:pt>
                <c:pt idx="115">
                  <c:v>35.307111472841044</c:v>
                </c:pt>
                <c:pt idx="116">
                  <c:v>35.023877968117027</c:v>
                </c:pt>
                <c:pt idx="117">
                  <c:v>34.738826276660184</c:v>
                </c:pt>
                <c:pt idx="118">
                  <c:v>34.451972447013908</c:v>
                </c:pt>
                <c:pt idx="119">
                  <c:v>34.163335674598834</c:v>
                </c:pt>
                <c:pt idx="120">
                  <c:v>33.872938322712955</c:v>
                </c:pt>
                <c:pt idx="121">
                  <c:v>33.580805932468465</c:v>
                </c:pt>
                <c:pt idx="122">
                  <c:v>33.286967221581442</c:v>
                </c:pt>
                <c:pt idx="123">
                  <c:v>32.991454072009638</c:v>
                </c:pt>
                <c:pt idx="124">
                  <c:v>32.694301506522123</c:v>
                </c:pt>
                <c:pt idx="125">
                  <c:v>32.39554765435755</c:v>
                </c:pt>
                <c:pt idx="126">
                  <c:v>32.09523370620397</c:v>
                </c:pt>
                <c:pt idx="127">
                  <c:v>31.793403858803178</c:v>
                </c:pt>
                <c:pt idx="128">
                  <c:v>31.490105249540651</c:v>
                </c:pt>
                <c:pt idx="129">
                  <c:v>31.185387881438885</c:v>
                </c:pt>
                <c:pt idx="130">
                  <c:v>30.879304539018758</c:v>
                </c:pt>
                <c:pt idx="131">
                  <c:v>30.5719106955302</c:v>
                </c:pt>
                <c:pt idx="132">
                  <c:v>30.263264412083018</c:v>
                </c:pt>
                <c:pt idx="133">
                  <c:v>29.953426229231912</c:v>
                </c:pt>
                <c:pt idx="134">
                  <c:v>29.642459051577607</c:v>
                </c:pt>
                <c:pt idx="135">
                  <c:v>29.330428025956962</c:v>
                </c:pt>
                <c:pt idx="136">
                  <c:v>29.017400413785509</c:v>
                </c:pt>
                <c:pt idx="137">
                  <c:v>28.703445458111755</c:v>
                </c:pt>
                <c:pt idx="138">
                  <c:v>28.388634245922781</c:v>
                </c:pt>
                <c:pt idx="139">
                  <c:v>28.073039566222985</c:v>
                </c:pt>
                <c:pt idx="140">
                  <c:v>27.756735764381748</c:v>
                </c:pt>
                <c:pt idx="141">
                  <c:v>27.439798593219908</c:v>
                </c:pt>
                <c:pt idx="142">
                  <c:v>27.122305061272982</c:v>
                </c:pt>
                <c:pt idx="143">
                  <c:v>26.804333278642893</c:v>
                </c:pt>
                <c:pt idx="144">
                  <c:v>26.485962300817</c:v>
                </c:pt>
                <c:pt idx="145">
                  <c:v>26.16727197080623</c:v>
                </c:pt>
                <c:pt idx="146">
                  <c:v>25.848342759929036</c:v>
                </c:pt>
                <c:pt idx="147">
                  <c:v>25.529255607542524</c:v>
                </c:pt>
                <c:pt idx="148">
                  <c:v>25.210091760005771</c:v>
                </c:pt>
                <c:pt idx="149">
                  <c:v>24.890932609141622</c:v>
                </c:pt>
                <c:pt idx="150">
                  <c:v>24.571859530459079</c:v>
                </c:pt>
                <c:pt idx="151">
                  <c:v>24.252953721386771</c:v>
                </c:pt>
                <c:pt idx="152">
                  <c:v>23.934296039773404</c:v>
                </c:pt>
                <c:pt idx="153">
                  <c:v>23.615966842914421</c:v>
                </c:pt>
                <c:pt idx="154">
                  <c:v>23.298045827377052</c:v>
                </c:pt>
                <c:pt idx="155">
                  <c:v>22.980611869906458</c:v>
                </c:pt>
                <c:pt idx="156">
                  <c:v>22.663742869722903</c:v>
                </c:pt>
                <c:pt idx="157">
                  <c:v>22.347515592536737</c:v>
                </c:pt>
                <c:pt idx="158">
                  <c:v>22.032005516637724</c:v>
                </c:pt>
                <c:pt idx="159">
                  <c:v>21.71728668144403</c:v>
                </c:pt>
                <c:pt idx="160">
                  <c:v>21.403431538924032</c:v>
                </c:pt>
                <c:pt idx="161">
                  <c:v>21.090510808335271</c:v>
                </c:pt>
                <c:pt idx="162">
                  <c:v>20.778593334754547</c:v>
                </c:pt>
                <c:pt idx="163">
                  <c:v>20.46774595189752</c:v>
                </c:pt>
                <c:pt idx="164">
                  <c:v>20.158033349753417</c:v>
                </c:pt>
                <c:pt idx="165">
                  <c:v>19.849517947577681</c:v>
                </c:pt>
                <c:pt idx="166">
                  <c:v>19.542259772801025</c:v>
                </c:pt>
                <c:pt idx="167">
                  <c:v>19.236316346422242</c:v>
                </c:pt>
                <c:pt idx="168">
                  <c:v>18.931742575453267</c:v>
                </c:pt>
                <c:pt idx="169">
                  <c:v>18.628590652979035</c:v>
                </c:pt>
                <c:pt idx="170">
                  <c:v>18.326909966381425</c:v>
                </c:pt>
                <c:pt idx="171">
                  <c:v>18.026747014254589</c:v>
                </c:pt>
                <c:pt idx="172">
                  <c:v>17.728145332505999</c:v>
                </c:pt>
                <c:pt idx="173">
                  <c:v>17.431145430100948</c:v>
                </c:pt>
                <c:pt idx="174">
                  <c:v>17.135784734858433</c:v>
                </c:pt>
                <c:pt idx="175">
                  <c:v>16.84209754965195</c:v>
                </c:pt>
                <c:pt idx="176">
                  <c:v>16.550115019304013</c:v>
                </c:pt>
                <c:pt idx="177">
                  <c:v>16.259865108397186</c:v>
                </c:pt>
                <c:pt idx="178">
                  <c:v>15.971372590146116</c:v>
                </c:pt>
                <c:pt idx="179">
                  <c:v>15.684659046396884</c:v>
                </c:pt>
                <c:pt idx="180">
                  <c:v>15.399742878740275</c:v>
                </c:pt>
                <c:pt idx="181">
                  <c:v>15.116639330636563</c:v>
                </c:pt>
                <c:pt idx="182">
                  <c:v>14.835360520370159</c:v>
                </c:pt>
                <c:pt idx="183">
                  <c:v>14.555915484563213</c:v>
                </c:pt>
                <c:pt idx="184">
                  <c:v>14.27831023190091</c:v>
                </c:pt>
                <c:pt idx="185">
                  <c:v>14.00254780664055</c:v>
                </c:pt>
                <c:pt idx="186">
                  <c:v>13.728628361402652</c:v>
                </c:pt>
                <c:pt idx="187">
                  <c:v>13.45654923867813</c:v>
                </c:pt>
                <c:pt idx="188">
                  <c:v>13.186305060422853</c:v>
                </c:pt>
                <c:pt idx="189">
                  <c:v>12.917887825058996</c:v>
                </c:pt>
                <c:pt idx="190">
                  <c:v>12.65128701115996</c:v>
                </c:pt>
                <c:pt idx="191">
                  <c:v>12.386489687056915</c:v>
                </c:pt>
                <c:pt idx="192">
                  <c:v>12.123480625584367</c:v>
                </c:pt>
                <c:pt idx="193">
                  <c:v>11.862242423158598</c:v>
                </c:pt>
                <c:pt idx="194">
                  <c:v>11.602755622381839</c:v>
                </c:pt>
                <c:pt idx="195">
                  <c:v>11.344998837362466</c:v>
                </c:pt>
                <c:pt idx="196">
                  <c:v>11.08894888095033</c:v>
                </c:pt>
                <c:pt idx="197">
                  <c:v>10.834580893109722</c:v>
                </c:pt>
                <c:pt idx="198">
                  <c:v>10.581868469671992</c:v>
                </c:pt>
                <c:pt idx="199">
                  <c:v>10.330783790744462</c:v>
                </c:pt>
                <c:pt idx="200">
                  <c:v>10.081297748091384</c:v>
                </c:pt>
                <c:pt idx="201">
                  <c:v>9.8333800708413612</c:v>
                </c:pt>
                <c:pt idx="202">
                  <c:v>9.5869994489282533</c:v>
                </c:pt>
                <c:pt idx="203">
                  <c:v>9.3421236537172465</c:v>
                </c:pt>
                <c:pt idx="204">
                  <c:v>9.0987196553239151</c:v>
                </c:pt>
                <c:pt idx="205">
                  <c:v>8.8567537361862438</c:v>
                </c:pt>
                <c:pt idx="206">
                  <c:v>8.6161916005046919</c:v>
                </c:pt>
                <c:pt idx="207">
                  <c:v>8.3769984792197949</c:v>
                </c:pt>
                <c:pt idx="208">
                  <c:v>8.1391392302510681</c:v>
                </c:pt>
                <c:pt idx="209">
                  <c:v>7.9025784337713283</c:v>
                </c:pt>
                <c:pt idx="210">
                  <c:v>7.667280482344264</c:v>
                </c:pt>
                <c:pt idx="211">
                  <c:v>7.4332096657983922</c:v>
                </c:pt>
                <c:pt idx="212">
                  <c:v>7.2003302507573972</c:v>
                </c:pt>
                <c:pt idx="213">
                  <c:v>6.9686065547878666</c:v>
                </c:pt>
                <c:pt idx="214">
                  <c:v>6.7380030151666448</c:v>
                </c:pt>
                <c:pt idx="215">
                  <c:v>6.508484252304136</c:v>
                </c:pt>
                <c:pt idx="216">
                  <c:v>6.2800151278924998</c:v>
                </c:pt>
                <c:pt idx="217">
                  <c:v>6.0525607978771543</c:v>
                </c:pt>
                <c:pt idx="218">
                  <c:v>5.8260867603743929</c:v>
                </c:pt>
                <c:pt idx="219">
                  <c:v>5.6005588986817525</c:v>
                </c:pt>
                <c:pt idx="220">
                  <c:v>5.3759435195441361</c:v>
                </c:pt>
                <c:pt idx="221">
                  <c:v>5.1522073868562002</c:v>
                </c:pt>
                <c:pt idx="222">
                  <c:v>4.9293177509950441</c:v>
                </c:pt>
                <c:pt idx="223">
                  <c:v>4.7072423739830693</c:v>
                </c:pt>
                <c:pt idx="224">
                  <c:v>4.4859495506952838</c:v>
                </c:pt>
                <c:pt idx="225">
                  <c:v>4.2654081263245978</c:v>
                </c:pt>
                <c:pt idx="226">
                  <c:v>4.0455875103229229</c:v>
                </c:pt>
                <c:pt idx="227">
                  <c:v>3.8264576870418572</c:v>
                </c:pt>
                <c:pt idx="228">
                  <c:v>3.6079892232898758</c:v>
                </c:pt>
                <c:pt idx="229">
                  <c:v>3.3901532730249064</c:v>
                </c:pt>
                <c:pt idx="230">
                  <c:v>3.1729215793987056</c:v>
                </c:pt>
                <c:pt idx="231">
                  <c:v>2.9562664743634359</c:v>
                </c:pt>
                <c:pt idx="232">
                  <c:v>2.7401608760464855</c:v>
                </c:pt>
                <c:pt idx="233">
                  <c:v>2.5245782840953557</c:v>
                </c:pt>
                <c:pt idx="234">
                  <c:v>2.3094927731880777</c:v>
                </c:pt>
                <c:pt idx="235">
                  <c:v>2.0948789848958871</c:v>
                </c:pt>
                <c:pt idx="236">
                  <c:v>1.8807121180819948</c:v>
                </c:pt>
                <c:pt idx="237">
                  <c:v>1.6669679180108554</c:v>
                </c:pt>
                <c:pt idx="238">
                  <c:v>1.4536226643376406</c:v>
                </c:pt>
                <c:pt idx="239">
                  <c:v>1.2406531581365414</c:v>
                </c:pt>
                <c:pt idx="240">
                  <c:v>1.0280367081287496</c:v>
                </c:pt>
                <c:pt idx="241">
                  <c:v>0.815751116253292</c:v>
                </c:pt>
                <c:pt idx="242">
                  <c:v>0.60377466272845393</c:v>
                </c:pt>
                <c:pt idx="243">
                  <c:v>0.39208609073837836</c:v>
                </c:pt>
                <c:pt idx="244">
                  <c:v>0.18066459087805578</c:v>
                </c:pt>
                <c:pt idx="245">
                  <c:v>-3.0510214515759242E-2</c:v>
                </c:pt>
                <c:pt idx="246">
                  <c:v>-0.24145828702630501</c:v>
                </c:pt>
                <c:pt idx="247">
                  <c:v>-0.45219918769159595</c:v>
                </c:pt>
                <c:pt idx="248">
                  <c:v>-0.66275209229807697</c:v>
                </c:pt>
                <c:pt idx="249">
                  <c:v>-0.87313580632109877</c:v>
                </c:pt>
                <c:pt idx="250">
                  <c:v>-1.0833687794039899</c:v>
                </c:pt>
                <c:pt idx="251">
                  <c:v>-1.293469119270207</c:v>
                </c:pt>
                <c:pt idx="252">
                  <c:v>-1.5034546049635762</c:v>
                </c:pt>
                <c:pt idx="253">
                  <c:v>-1.7133426993152587</c:v>
                </c:pt>
                <c:pt idx="254">
                  <c:v>-1.9231505605388308</c:v>
                </c:pt>
                <c:pt idx="255">
                  <c:v>-2.1328950528521777</c:v>
                </c:pt>
                <c:pt idx="256">
                  <c:v>-2.3425927560309265</c:v>
                </c:pt>
                <c:pt idx="257">
                  <c:v>-2.552259973797451</c:v>
                </c:pt>
                <c:pt idx="258">
                  <c:v>-2.761912740949739</c:v>
                </c:pt>
                <c:pt idx="259">
                  <c:v>-2.9715668291387236</c:v>
                </c:pt>
                <c:pt idx="260">
                  <c:v>-3.1812377512015861</c:v>
                </c:pt>
                <c:pt idx="261">
                  <c:v>-3.3909407639618756</c:v>
                </c:pt>
                <c:pt idx="262">
                  <c:v>-3.6006908694094757</c:v>
                </c:pt>
                <c:pt idx="263">
                  <c:v>-3.8105028141766888</c:v>
                </c:pt>
                <c:pt idx="264">
                  <c:v>-4.0203910872289041</c:v>
                </c:pt>
                <c:pt idx="265">
                  <c:v>-4.2303699156934602</c:v>
                </c:pt>
                <c:pt idx="266">
                  <c:v>-4.44045325875652</c:v>
                </c:pt>
                <c:pt idx="267">
                  <c:v>-4.6506547995609564</c:v>
                </c:pt>
                <c:pt idx="268">
                  <c:v>-4.8609879350479872</c:v>
                </c:pt>
                <c:pt idx="269">
                  <c:v>-5.0714657636932863</c:v>
                </c:pt>
                <c:pt idx="270">
                  <c:v>-5.2821010710964202</c:v>
                </c:pt>
                <c:pt idx="271">
                  <c:v>-5.4929063133966167</c:v>
                </c:pt>
                <c:pt idx="272">
                  <c:v>-5.7038935984976158</c:v>
                </c:pt>
                <c:pt idx="273">
                  <c:v>-5.9150746651006543</c:v>
                </c:pt>
                <c:pt idx="274">
                  <c:v>-6.1264608595613392</c:v>
                </c:pt>
                <c:pt idx="275">
                  <c:v>-6.338063110601948</c:v>
                </c:pt>
                <c:pt idx="276">
                  <c:v>-6.5498919019325665</c:v>
                </c:pt>
                <c:pt idx="277">
                  <c:v>-6.761957242854705</c:v>
                </c:pt>
                <c:pt idx="278">
                  <c:v>-6.9742686369457507</c:v>
                </c:pt>
                <c:pt idx="279">
                  <c:v>-7.186835048944415</c:v>
                </c:pt>
                <c:pt idx="280">
                  <c:v>-7.3996648699884426</c:v>
                </c:pt>
                <c:pt idx="281">
                  <c:v>-7.6127658813794898</c:v>
                </c:pt>
                <c:pt idx="282">
                  <c:v>-7.8261452170785608</c:v>
                </c:pt>
                <c:pt idx="283">
                  <c:v>-8.0398093251702605</c:v>
                </c:pt>
                <c:pt idx="284">
                  <c:v>-8.2537639285577917</c:v>
                </c:pt>
                <c:pt idx="285">
                  <c:v>-8.4680139851832461</c:v>
                </c:pt>
                <c:pt idx="286">
                  <c:v>-8.6825636480968136</c:v>
                </c:pt>
                <c:pt idx="287">
                  <c:v>-8.8974162257303497</c:v>
                </c:pt>
                <c:pt idx="288">
                  <c:v>-9.1125741427486329</c:v>
                </c:pt>
                <c:pt idx="289">
                  <c:v>-9.3280389018883749</c:v>
                </c:pt>
                <c:pt idx="290">
                  <c:v>-9.543811047206102</c:v>
                </c:pt>
                <c:pt idx="291">
                  <c:v>-9.7598901291813132</c:v>
                </c:pt>
                <c:pt idx="292">
                  <c:v>-9.9762746721330835</c:v>
                </c:pt>
                <c:pt idx="293">
                  <c:v>-10.192962144414825</c:v>
                </c:pt>
                <c:pt idx="294">
                  <c:v>-10.40994893186279</c:v>
                </c:pt>
                <c:pt idx="295">
                  <c:v>-10.627230314961588</c:v>
                </c:pt>
                <c:pt idx="296">
                  <c:v>-10.844800450190995</c:v>
                </c:pt>
                <c:pt idx="297">
                  <c:v>-11.062652355993821</c:v>
                </c:pt>
                <c:pt idx="298">
                  <c:v>-11.280777903785449</c:v>
                </c:pt>
                <c:pt idx="299">
                  <c:v>-11.499167814393097</c:v>
                </c:pt>
                <c:pt idx="300">
                  <c:v>-11.717811660273192</c:v>
                </c:pt>
                <c:pt idx="301">
                  <c:v>-11.936697873808876</c:v>
                </c:pt>
                <c:pt idx="302">
                  <c:v>-12.155813761934763</c:v>
                </c:pt>
                <c:pt idx="303">
                  <c:v>-12.375145527275981</c:v>
                </c:pt>
                <c:pt idx="304">
                  <c:v>-12.594678295919511</c:v>
                </c:pt>
                <c:pt idx="305">
                  <c:v>-12.814396151864976</c:v>
                </c:pt>
                <c:pt idx="306">
                  <c:v>-13.034282178121646</c:v>
                </c:pt>
                <c:pt idx="307">
                  <c:v>-13.254318504342464</c:v>
                </c:pt>
                <c:pt idx="308">
                  <c:v>-13.474486360797112</c:v>
                </c:pt>
                <c:pt idx="309">
                  <c:v>-13.694766138409843</c:v>
                </c:pt>
                <c:pt idx="310">
                  <c:v>-13.915137454500375</c:v>
                </c:pt>
                <c:pt idx="311">
                  <c:v>-14.135579223790335</c:v>
                </c:pt>
                <c:pt idx="312">
                  <c:v>-14.356069734160444</c:v>
                </c:pt>
                <c:pt idx="313">
                  <c:v>-14.576586726575478</c:v>
                </c:pt>
                <c:pt idx="314">
                  <c:v>-14.797107478531355</c:v>
                </c:pt>
                <c:pt idx="315">
                  <c:v>-15.017608890324457</c:v>
                </c:pt>
                <c:pt idx="316">
                  <c:v>-15.238067573400343</c:v>
                </c:pt>
                <c:pt idx="317">
                  <c:v>-15.458459940004985</c:v>
                </c:pt>
                <c:pt idx="318">
                  <c:v>-15.678762293339954</c:v>
                </c:pt>
                <c:pt idx="319">
                  <c:v>-15.898950917412922</c:v>
                </c:pt>
                <c:pt idx="320">
                  <c:v>-16.119002165778589</c:v>
                </c:pt>
                <c:pt idx="321">
                  <c:v>-16.338892548376144</c:v>
                </c:pt>
                <c:pt idx="322">
                  <c:v>-16.558598815700222</c:v>
                </c:pt>
                <c:pt idx="323">
                  <c:v>-16.778098039577234</c:v>
                </c:pt>
                <c:pt idx="324">
                  <c:v>-16.997367689866479</c:v>
                </c:pt>
                <c:pt idx="325">
                  <c:v>-17.216385706465132</c:v>
                </c:pt>
                <c:pt idx="326">
                  <c:v>-17.43513056606108</c:v>
                </c:pt>
                <c:pt idx="327">
                  <c:v>-17.653581343149064</c:v>
                </c:pt>
                <c:pt idx="328">
                  <c:v>-17.871717764905725</c:v>
                </c:pt>
                <c:pt idx="329">
                  <c:v>-18.089520259599642</c:v>
                </c:pt>
                <c:pt idx="330">
                  <c:v>-18.306969998297717</c:v>
                </c:pt>
                <c:pt idx="331">
                  <c:v>-18.524048929710588</c:v>
                </c:pt>
                <c:pt idx="332">
                  <c:v>-18.740739808112824</c:v>
                </c:pt>
                <c:pt idx="333">
                  <c:v>-18.957026214344708</c:v>
                </c:pt>
                <c:pt idx="334">
                  <c:v>-19.17289256998923</c:v>
                </c:pt>
                <c:pt idx="335">
                  <c:v>-19.388324144890301</c:v>
                </c:pt>
                <c:pt idx="336">
                  <c:v>-19.603307058246699</c:v>
                </c:pt>
                <c:pt idx="337">
                  <c:v>-19.817828273579771</c:v>
                </c:pt>
                <c:pt idx="338">
                  <c:v>-20.031875587930372</c:v>
                </c:pt>
                <c:pt idx="339">
                  <c:v>-20.245437615689688</c:v>
                </c:pt>
                <c:pt idx="340">
                  <c:v>-20.458503767510166</c:v>
                </c:pt>
                <c:pt idx="341">
                  <c:v>-20.671064224782405</c:v>
                </c:pt>
                <c:pt idx="342">
                  <c:v>-20.883109910186697</c:v>
                </c:pt>
                <c:pt idx="343">
                  <c:v>-21.094632454855589</c:v>
                </c:pt>
                <c:pt idx="344">
                  <c:v>-21.305624162698823</c:v>
                </c:pt>
                <c:pt idx="345">
                  <c:v>-21.516077972451573</c:v>
                </c:pt>
                <c:pt idx="346">
                  <c:v>-21.725987418015276</c:v>
                </c:pt>
                <c:pt idx="347">
                  <c:v>-21.935346587661808</c:v>
                </c:pt>
                <c:pt idx="348">
                  <c:v>-22.144150082673264</c:v>
                </c:pt>
                <c:pt idx="349">
                  <c:v>-22.352392975983733</c:v>
                </c:pt>
                <c:pt idx="350">
                  <c:v>-22.560070771389871</c:v>
                </c:pt>
                <c:pt idx="351">
                  <c:v>-22.767179363887973</c:v>
                </c:pt>
                <c:pt idx="352">
                  <c:v>-22.973715001697613</c:v>
                </c:pt>
                <c:pt idx="353">
                  <c:v>-23.179674250523536</c:v>
                </c:pt>
                <c:pt idx="354">
                  <c:v>-23.38505396061311</c:v>
                </c:pt>
                <c:pt idx="355">
                  <c:v>-23.589851237166997</c:v>
                </c:pt>
                <c:pt idx="356">
                  <c:v>-23.79406341466812</c:v>
                </c:pt>
                <c:pt idx="357">
                  <c:v>-23.997688035710819</c:v>
                </c:pt>
                <c:pt idx="358">
                  <c:v>-24.200722834923557</c:v>
                </c:pt>
                <c:pt idx="359">
                  <c:v>-24.403165728611285</c:v>
                </c:pt>
                <c:pt idx="360">
                  <c:v>-24.605014810769745</c:v>
                </c:pt>
                <c:pt idx="361">
                  <c:v>-24.806268356168786</c:v>
                </c:pt>
                <c:pt idx="362">
                  <c:v>-25.006924831251666</c:v>
                </c:pt>
                <c:pt idx="363">
                  <c:v>-25.206982913655736</c:v>
                </c:pt>
                <c:pt idx="364">
                  <c:v>-25.406441521232871</c:v>
                </c:pt>
                <c:pt idx="365">
                  <c:v>-25.605299851531523</c:v>
                </c:pt>
                <c:pt idx="366">
                  <c:v>-25.803557432798456</c:v>
                </c:pt>
                <c:pt idx="367">
                  <c:v>-26.001214187668374</c:v>
                </c:pt>
                <c:pt idx="368">
                  <c:v>-26.198270510836004</c:v>
                </c:pt>
                <c:pt idx="369">
                  <c:v>-26.394727362147528</c:v>
                </c:pt>
                <c:pt idx="370">
                  <c:v>-26.590586376707495</c:v>
                </c:pt>
                <c:pt idx="371">
                  <c:v>-26.78584999377518</c:v>
                </c:pt>
                <c:pt idx="372">
                  <c:v>-26.980521606423022</c:v>
                </c:pt>
                <c:pt idx="373">
                  <c:v>-27.174605734148255</c:v>
                </c:pt>
                <c:pt idx="374">
                  <c:v>-27.368108220867743</c:v>
                </c:pt>
                <c:pt idx="375">
                  <c:v>-27.56103646098952</c:v>
                </c:pt>
                <c:pt idx="376">
                  <c:v>-27.753399656537749</c:v>
                </c:pt>
                <c:pt idx="377">
                  <c:v>-27.94520910861538</c:v>
                </c:pt>
                <c:pt idx="378">
                  <c:v>-28.136478546812441</c:v>
                </c:pt>
                <c:pt idx="379">
                  <c:v>-28.327224500515712</c:v>
                </c:pt>
                <c:pt idx="380">
                  <c:v>-28.51746671643491</c:v>
                </c:pt>
                <c:pt idx="381">
                  <c:v>-28.707228627024705</c:v>
                </c:pt>
                <c:pt idx="382">
                  <c:v>-28.896537874859792</c:v>
                </c:pt>
                <c:pt idx="383">
                  <c:v>-29.085426898371438</c:v>
                </c:pt>
                <c:pt idx="384">
                  <c:v>-29.273933584696273</c:v>
                </c:pt>
                <c:pt idx="385">
                  <c:v>-29.462101995673727</c:v>
                </c:pt>
                <c:pt idx="386">
                  <c:v>-29.649983173253311</c:v>
                </c:pt>
                <c:pt idx="387">
                  <c:v>-29.837636030685701</c:v>
                </c:pt>
                <c:pt idx="388">
                  <c:v>-30.025128335847626</c:v>
                </c:pt>
                <c:pt idx="389">
                  <c:v>-30.212537792817642</c:v>
                </c:pt>
                <c:pt idx="390">
                  <c:v>-30.399953227332389</c:v>
                </c:pt>
                <c:pt idx="391">
                  <c:v>-30.587475880915925</c:v>
                </c:pt>
                <c:pt idx="392">
                  <c:v>-30.775220817194441</c:v>
                </c:pt>
                <c:pt idx="393">
                  <c:v>-30.963318442080624</c:v>
                </c:pt>
                <c:pt idx="394">
                  <c:v>-31.15191613698812</c:v>
                </c:pt>
                <c:pt idx="395">
                  <c:v>-31.341180000874608</c:v>
                </c:pt>
                <c:pt idx="396">
                  <c:v>-31.531296692546398</c:v>
                </c:pt>
                <c:pt idx="397">
                  <c:v>-31.722475359096379</c:v>
                </c:pt>
                <c:pt idx="398">
                  <c:v>-31.914949629425443</c:v>
                </c:pt>
                <c:pt idx="399">
                  <c:v>-32.108979643334983</c:v>
                </c:pt>
                <c:pt idx="400">
                  <c:v>-32.304854076532123</c:v>
                </c:pt>
                <c:pt idx="401">
                  <c:v>-32.502892110000523</c:v>
                </c:pt>
                <c:pt idx="402">
                  <c:v>-32.703445278561034</c:v>
                </c:pt>
                <c:pt idx="403">
                  <c:v>-32.906899118263752</c:v>
                </c:pt>
                <c:pt idx="404">
                  <c:v>-33.113674515886984</c:v>
                </c:pt>
                <c:pt idx="405">
                  <c:v>-33.324228646931225</c:v>
                </c:pt>
                <c:pt idx="406">
                  <c:v>-33.539055372074642</c:v>
                </c:pt>
                <c:pt idx="407">
                  <c:v>-33.75868494749762</c:v>
                </c:pt>
                <c:pt idx="408">
                  <c:v>-33.983682893630146</c:v>
                </c:pt>
                <c:pt idx="409">
                  <c:v>-34.214647861977369</c:v>
                </c:pt>
                <c:pt idx="410">
                  <c:v>-34.4522083433624</c:v>
                </c:pt>
                <c:pt idx="411">
                  <c:v>-34.697018075997022</c:v>
                </c:pt>
                <c:pt idx="412">
                  <c:v>-34.949750040949475</c:v>
                </c:pt>
                <c:pt idx="413">
                  <c:v>-35.211088978019006</c:v>
                </c:pt>
                <c:pt idx="414">
                  <c:v>-35.481722417921397</c:v>
                </c:pt>
                <c:pt idx="415">
                  <c:v>-35.762330306553721</c:v>
                </c:pt>
                <c:pt idx="416">
                  <c:v>-36.053573391336116</c:v>
                </c:pt>
                <c:pt idx="417">
                  <c:v>-36.356080642963789</c:v>
                </c:pt>
                <c:pt idx="418">
                  <c:v>-36.670436090474794</c:v>
                </c:pt>
                <c:pt idx="419">
                  <c:v>-36.997165543116381</c:v>
                </c:pt>
                <c:pt idx="420">
                  <c:v>-37.336723747490645</c:v>
                </c:pt>
                <c:pt idx="421">
                  <c:v>-37.689482571325357</c:v>
                </c:pt>
                <c:pt idx="422">
                  <c:v>-38.05572080632566</c:v>
                </c:pt>
                <c:pt idx="423">
                  <c:v>-38.435616136043876</c:v>
                </c:pt>
                <c:pt idx="424">
                  <c:v>-38.829239720112312</c:v>
                </c:pt>
                <c:pt idx="425">
                  <c:v>-39.236553709163495</c:v>
                </c:pt>
                <c:pt idx="426">
                  <c:v>-39.657411836938152</c:v>
                </c:pt>
                <c:pt idx="427">
                  <c:v>-40.091563053547112</c:v>
                </c:pt>
                <c:pt idx="428">
                  <c:v>-40.538657984978705</c:v>
                </c:pt>
                <c:pt idx="429">
                  <c:v>-40.998257846486261</c:v>
                </c:pt>
                <c:pt idx="430">
                  <c:v>-41.469845316048762</c:v>
                </c:pt>
                <c:pt idx="431">
                  <c:v>-41.952836798036515</c:v>
                </c:pt>
                <c:pt idx="432">
                  <c:v>-42.446595479778907</c:v>
                </c:pt>
                <c:pt idx="433">
                  <c:v>-42.950444602163529</c:v>
                </c:pt>
                <c:pt idx="434">
                  <c:v>-43.463680422178328</c:v>
                </c:pt>
                <c:pt idx="435">
                  <c:v>-43.98558442980071</c:v>
                </c:pt>
                <c:pt idx="436">
                  <c:v>-44.515434482078973</c:v>
                </c:pt>
                <c:pt idx="437">
                  <c:v>-45.052514622448008</c:v>
                </c:pt>
                <c:pt idx="438">
                  <c:v>-45.596123453884736</c:v>
                </c:pt>
                <c:pt idx="439">
                  <c:v>-46.145581023573747</c:v>
                </c:pt>
                <c:pt idx="440">
                  <c:v>-46.700234250151283</c:v>
                </c:pt>
                <c:pt idx="441">
                  <c:v>-47.259460980594213</c:v>
                </c:pt>
                <c:pt idx="442">
                  <c:v>-47.822672802661273</c:v>
                </c:pt>
                <c:pt idx="443">
                  <c:v>-48.389316762136261</c:v>
                </c:pt>
                <c:pt idx="444">
                  <c:v>-48.958876144379921</c:v>
                </c:pt>
                <c:pt idx="445">
                  <c:v>-49.530870479691259</c:v>
                </c:pt>
                <c:pt idx="446">
                  <c:v>-50.10485492444279</c:v>
                </c:pt>
                <c:pt idx="447">
                  <c:v>-50.680419157396813</c:v>
                </c:pt>
                <c:pt idx="448">
                  <c:v>-51.257185915120225</c:v>
                </c:pt>
                <c:pt idx="449">
                  <c:v>-51.834809273660369</c:v>
                </c:pt>
                <c:pt idx="450">
                  <c:v>-52.41297276685291</c:v>
                </c:pt>
                <c:pt idx="451">
                  <c:v>-52.991387415655915</c:v>
                </c:pt>
                <c:pt idx="452">
                  <c:v>-53.569789728285585</c:v>
                </c:pt>
                <c:pt idx="453">
                  <c:v>-54.14793971795315</c:v>
                </c:pt>
                <c:pt idx="454">
                  <c:v>-54.725618973776562</c:v>
                </c:pt>
                <c:pt idx="455">
                  <c:v>-55.302628810948349</c:v>
                </c:pt>
                <c:pt idx="456">
                  <c:v>-55.878788518368992</c:v>
                </c:pt>
                <c:pt idx="457">
                  <c:v>-56.453933715561348</c:v>
                </c:pt>
                <c:pt idx="458">
                  <c:v>-57.027914825570456</c:v>
                </c:pt>
                <c:pt idx="459">
                  <c:v>-57.600595666568957</c:v>
                </c:pt>
                <c:pt idx="460">
                  <c:v>-58.171852161828276</c:v>
                </c:pt>
                <c:pt idx="461">
                  <c:v>-58.741571165439368</c:v>
                </c:pt>
                <c:pt idx="462">
                  <c:v>-59.309649399518349</c:v>
                </c:pt>
                <c:pt idx="463">
                  <c:v>-59.875992497489605</c:v>
                </c:pt>
                <c:pt idx="464">
                  <c:v>-60.440514147295715</c:v>
                </c:pt>
                <c:pt idx="465">
                  <c:v>-61.003135327949209</c:v>
                </c:pt>
                <c:pt idx="466">
                  <c:v>-61.563783632645709</c:v>
                </c:pt>
                <c:pt idx="467">
                  <c:v>-62.122392671629882</c:v>
                </c:pt>
                <c:pt idx="468">
                  <c:v>-62.678901548120542</c:v>
                </c:pt>
                <c:pt idx="469">
                  <c:v>-63.233254400790628</c:v>
                </c:pt>
                <c:pt idx="470">
                  <c:v>-63.785400006560621</c:v>
                </c:pt>
                <c:pt idx="471">
                  <c:v>-64.335291437760446</c:v>
                </c:pt>
                <c:pt idx="472">
                  <c:v>-64.882885768033177</c:v>
                </c:pt>
                <c:pt idx="473">
                  <c:v>-65.428143821686177</c:v>
                </c:pt>
                <c:pt idx="474">
                  <c:v>-65.971029961523982</c:v>
                </c:pt>
                <c:pt idx="475">
                  <c:v>-66.511511910524504</c:v>
                </c:pt>
                <c:pt idx="476">
                  <c:v>-67.049560603036241</c:v>
                </c:pt>
                <c:pt idx="477">
                  <c:v>-67.585150061483958</c:v>
                </c:pt>
                <c:pt idx="478">
                  <c:v>-68.118257294861152</c:v>
                </c:pt>
                <c:pt idx="479">
                  <c:v>-68.648862215573658</c:v>
                </c:pt>
                <c:pt idx="480">
                  <c:v>-69.176947571467323</c:v>
                </c:pt>
                <c:pt idx="481">
                  <c:v>-69.702498890131778</c:v>
                </c:pt>
                <c:pt idx="482">
                  <c:v>-70.225504432825346</c:v>
                </c:pt>
                <c:pt idx="483">
                  <c:v>-70.745955155598722</c:v>
                </c:pt>
                <c:pt idx="484">
                  <c:v>-71.263844675433475</c:v>
                </c:pt>
                <c:pt idx="485">
                  <c:v>-71.779169239426693</c:v>
                </c:pt>
                <c:pt idx="486">
                  <c:v>-72.291927695274467</c:v>
                </c:pt>
                <c:pt idx="487">
                  <c:v>-72.802121461511391</c:v>
                </c:pt>
                <c:pt idx="488">
                  <c:v>-73.309754496162071</c:v>
                </c:pt>
                <c:pt idx="489">
                  <c:v>-73.814833262661224</c:v>
                </c:pt>
                <c:pt idx="490">
                  <c:v>-74.31736669207713</c:v>
                </c:pt>
                <c:pt idx="491">
                  <c:v>-74.817366140858766</c:v>
                </c:pt>
                <c:pt idx="492">
                  <c:v>-75.314845343493246</c:v>
                </c:pt>
                <c:pt idx="493">
                  <c:v>-75.809820359623203</c:v>
                </c:pt>
                <c:pt idx="494">
                  <c:v>-76.302309515329185</c:v>
                </c:pt>
                <c:pt idx="495">
                  <c:v>-76.7923333384188</c:v>
                </c:pt>
                <c:pt idx="496">
                  <c:v>-77.279914487704318</c:v>
                </c:pt>
                <c:pt idx="497">
                  <c:v>-77.765077676362012</c:v>
                </c:pt>
                <c:pt idx="498">
                  <c:v>-78.247849589584405</c:v>
                </c:pt>
                <c:pt idx="499">
                  <c:v>-78.728258796828428</c:v>
                </c:pt>
                <c:pt idx="500">
                  <c:v>-79.20633565904771</c:v>
                </c:pt>
                <c:pt idx="501">
                  <c:v>-79.682112231371704</c:v>
                </c:pt>
                <c:pt idx="502">
                  <c:v>-80.155622161751495</c:v>
                </c:pt>
                <c:pt idx="503">
                  <c:v>-80.626900586141346</c:v>
                </c:pt>
                <c:pt idx="504">
                  <c:v>-81.095984020819401</c:v>
                </c:pt>
                <c:pt idx="505">
                  <c:v>-81.562910252475149</c:v>
                </c:pt>
                <c:pt idx="506">
                  <c:v>-82.027718226704934</c:v>
                </c:pt>
                <c:pt idx="507">
                  <c:v>-82.49044793555727</c:v>
                </c:pt>
                <c:pt idx="508">
                  <c:v>-82.951140304765843</c:v>
                </c:pt>
                <c:pt idx="509">
                  <c:v>-83.409837081290718</c:v>
                </c:pt>
                <c:pt idx="510">
                  <c:v>-83.866580721766127</c:v>
                </c:pt>
                <c:pt idx="511">
                  <c:v>-84.32141428242349</c:v>
                </c:pt>
                <c:pt idx="512">
                  <c:v>-84.774381311023973</c:v>
                </c:pt>
                <c:pt idx="513">
                  <c:v>-85.225525741294504</c:v>
                </c:pt>
                <c:pt idx="514">
                  <c:v>-85.674891790318171</c:v>
                </c:pt>
                <c:pt idx="515">
                  <c:v>-86.122523859284911</c:v>
                </c:pt>
                <c:pt idx="516">
                  <c:v>-86.568466437959728</c:v>
                </c:pt>
                <c:pt idx="517">
                  <c:v>-87.012764013178298</c:v>
                </c:pt>
                <c:pt idx="518">
                  <c:v>-87.455460981631873</c:v>
                </c:pt>
                <c:pt idx="519">
                  <c:v>-87.896601567153425</c:v>
                </c:pt>
                <c:pt idx="520">
                  <c:v>-88.336229742673822</c:v>
                </c:pt>
                <c:pt idx="521">
                  <c:v>-88.774389156968709</c:v>
                </c:pt>
                <c:pt idx="522">
                  <c:v>-89.211123066276073</c:v>
                </c:pt>
                <c:pt idx="523">
                  <c:v>-89.646474270825394</c:v>
                </c:pt>
                <c:pt idx="524">
                  <c:v>-90.080485056279457</c:v>
                </c:pt>
                <c:pt idx="525">
                  <c:v>-90.51319714005615</c:v>
                </c:pt>
                <c:pt idx="526">
                  <c:v>-90.944651622472307</c:v>
                </c:pt>
                <c:pt idx="527">
                  <c:v>-91.374888942612387</c:v>
                </c:pt>
                <c:pt idx="528">
                  <c:v>-91.803948838812502</c:v>
                </c:pt>
                <c:pt idx="529">
                  <c:v>-92.231870313623787</c:v>
                </c:pt>
                <c:pt idx="530">
                  <c:v>-92.658691603095519</c:v>
                </c:pt>
                <c:pt idx="531">
                  <c:v>-93.084450150215261</c:v>
                </c:pt>
                <c:pt idx="532">
                  <c:v>-93.50918258232079</c:v>
                </c:pt>
                <c:pt idx="533">
                  <c:v>-93.932924692293369</c:v>
                </c:pt>
                <c:pt idx="534">
                  <c:v>-94.355711423334441</c:v>
                </c:pt>
                <c:pt idx="535">
                  <c:v>-94.777576857122909</c:v>
                </c:pt>
                <c:pt idx="536">
                  <c:v>-95.198554205146721</c:v>
                </c:pt>
                <c:pt idx="537">
                  <c:v>-95.618675803003299</c:v>
                </c:pt>
                <c:pt idx="538">
                  <c:v>-96.037973107464182</c:v>
                </c:pt>
                <c:pt idx="539">
                  <c:v>-96.456476696097667</c:v>
                </c:pt>
                <c:pt idx="540">
                  <c:v>-96.874216269254816</c:v>
                </c:pt>
                <c:pt idx="541">
                  <c:v>-97.291220654221675</c:v>
                </c:pt>
              </c:numCache>
            </c:numRef>
          </c:yVal>
          <c:smooth val="1"/>
          <c:extLst>
            <c:ext xmlns:c16="http://schemas.microsoft.com/office/drawing/2014/chart" uri="{C3380CC4-5D6E-409C-BE32-E72D297353CC}">
              <c16:uniqueId val="{00000000-D42D-4D3E-8F18-949424A9442A}"/>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87.103069008043619</c:v>
                </c:pt>
                <c:pt idx="1">
                  <c:v>87.035848761962512</c:v>
                </c:pt>
                <c:pt idx="2">
                  <c:v>86.967081133007667</c:v>
                </c:pt>
                <c:pt idx="3">
                  <c:v>86.896731383832375</c:v>
                </c:pt>
                <c:pt idx="4">
                  <c:v>86.824764060310002</c:v>
                </c:pt>
                <c:pt idx="5">
                  <c:v>86.751142981317955</c:v>
                </c:pt>
                <c:pt idx="6">
                  <c:v>86.675831228732278</c:v>
                </c:pt>
                <c:pt idx="7">
                  <c:v>86.598791137667575</c:v>
                </c:pt>
                <c:pt idx="8">
                  <c:v>86.519984287000739</c:v>
                </c:pt>
                <c:pt idx="9">
                  <c:v>86.439371490218605</c:v>
                </c:pt>
                <c:pt idx="10">
                  <c:v>86.356912786634425</c:v>
                </c:pt>
                <c:pt idx="11">
                  <c:v>86.27256743301966</c:v>
                </c:pt>
                <c:pt idx="12">
                  <c:v>86.186293895702633</c:v>
                </c:pt>
                <c:pt idx="13">
                  <c:v>86.098049843188164</c:v>
                </c:pt>
                <c:pt idx="14">
                  <c:v>86.007792139357178</c:v>
                </c:pt>
                <c:pt idx="15">
                  <c:v>85.915476837309043</c:v>
                </c:pt>
                <c:pt idx="16">
                  <c:v>85.821059173913881</c:v>
                </c:pt>
                <c:pt idx="17">
                  <c:v>85.724493565146588</c:v>
                </c:pt>
                <c:pt idx="18">
                  <c:v>85.625733602280846</c:v>
                </c:pt>
                <c:pt idx="19">
                  <c:v>85.524732049023399</c:v>
                </c:pt>
                <c:pt idx="20">
                  <c:v>85.421440839678496</c:v>
                </c:pt>
                <c:pt idx="21">
                  <c:v>85.315811078435232</c:v>
                </c:pt>
                <c:pt idx="22">
                  <c:v>85.207793039878354</c:v>
                </c:pt>
                <c:pt idx="23">
                  <c:v>85.097336170827347</c:v>
                </c:pt>
                <c:pt idx="24">
                  <c:v>84.984389093620109</c:v>
                </c:pt>
                <c:pt idx="25">
                  <c:v>84.86889961095801</c:v>
                </c:pt>
                <c:pt idx="26">
                  <c:v>84.750814712443997</c:v>
                </c:pt>
                <c:pt idx="27">
                  <c:v>84.630080582945752</c:v>
                </c:pt>
                <c:pt idx="28">
                  <c:v>84.506642612930946</c:v>
                </c:pt>
                <c:pt idx="29">
                  <c:v>84.380445410924906</c:v>
                </c:pt>
                <c:pt idx="30">
                  <c:v>84.251432818253178</c:v>
                </c:pt>
                <c:pt idx="31">
                  <c:v>84.119547926238468</c:v>
                </c:pt>
                <c:pt idx="32">
                  <c:v>83.984733096032812</c:v>
                </c:pt>
                <c:pt idx="33">
                  <c:v>83.846929981273689</c:v>
                </c:pt>
                <c:pt idx="34">
                  <c:v>83.706079553764965</c:v>
                </c:pt>
                <c:pt idx="35">
                  <c:v>83.562122132391465</c:v>
                </c:pt>
                <c:pt idx="36">
                  <c:v>83.414997415489495</c:v>
                </c:pt>
                <c:pt idx="37">
                  <c:v>83.264644516903459</c:v>
                </c:pt>
                <c:pt idx="38">
                  <c:v>83.11100200597113</c:v>
                </c:pt>
                <c:pt idx="39">
                  <c:v>82.954007951693455</c:v>
                </c:pt>
                <c:pt idx="40">
                  <c:v>82.79359997134938</c:v>
                </c:pt>
                <c:pt idx="41">
                  <c:v>82.629715283835154</c:v>
                </c:pt>
                <c:pt idx="42">
                  <c:v>82.462290768012977</c:v>
                </c:pt>
                <c:pt idx="43">
                  <c:v>82.291263026367787</c:v>
                </c:pt>
                <c:pt idx="44">
                  <c:v>82.116568454278422</c:v>
                </c:pt>
                <c:pt idx="45">
                  <c:v>81.938143315223542</c:v>
                </c:pt>
                <c:pt idx="46">
                  <c:v>81.755923822249159</c:v>
                </c:pt>
                <c:pt idx="47">
                  <c:v>81.569846226033761</c:v>
                </c:pt>
                <c:pt idx="48">
                  <c:v>81.379846909897651</c:v>
                </c:pt>
                <c:pt idx="49">
                  <c:v>81.185862492107219</c:v>
                </c:pt>
                <c:pt idx="50">
                  <c:v>80.987829935831684</c:v>
                </c:pt>
                <c:pt idx="51">
                  <c:v>80.785686667114561</c:v>
                </c:pt>
                <c:pt idx="52">
                  <c:v>80.579370701226395</c:v>
                </c:pt>
                <c:pt idx="53">
                  <c:v>80.368820777760689</c:v>
                </c:pt>
                <c:pt idx="54">
                  <c:v>80.153976504840259</c:v>
                </c:pt>
                <c:pt idx="55">
                  <c:v>79.93477851279313</c:v>
                </c:pt>
                <c:pt idx="56">
                  <c:v>79.711168617650216</c:v>
                </c:pt>
                <c:pt idx="57">
                  <c:v>79.48308999480922</c:v>
                </c:pt>
                <c:pt idx="58">
                  <c:v>79.250487363192931</c:v>
                </c:pt>
                <c:pt idx="59">
                  <c:v>79.013307180215079</c:v>
                </c:pt>
                <c:pt idx="60">
                  <c:v>78.771497847841871</c:v>
                </c:pt>
                <c:pt idx="61">
                  <c:v>78.525009930013454</c:v>
                </c:pt>
                <c:pt idx="62">
                  <c:v>78.273796381656467</c:v>
                </c:pt>
                <c:pt idx="63">
                  <c:v>78.017812789479422</c:v>
                </c:pt>
                <c:pt idx="64">
                  <c:v>77.757017624701902</c:v>
                </c:pt>
                <c:pt idx="65">
                  <c:v>77.491372507816322</c:v>
                </c:pt>
                <c:pt idx="66">
                  <c:v>77.220842485423347</c:v>
                </c:pt>
                <c:pt idx="67">
                  <c:v>76.945396319118927</c:v>
                </c:pt>
                <c:pt idx="68">
                  <c:v>76.665006786337571</c:v>
                </c:pt>
                <c:pt idx="69">
                  <c:v>76.379650992975442</c:v>
                </c:pt>
                <c:pt idx="70">
                  <c:v>76.089310697527665</c:v>
                </c:pt>
                <c:pt idx="71">
                  <c:v>75.79397264637953</c:v>
                </c:pt>
                <c:pt idx="72">
                  <c:v>75.493628919779013</c:v>
                </c:pt>
                <c:pt idx="73">
                  <c:v>75.188277287909941</c:v>
                </c:pt>
                <c:pt idx="74">
                  <c:v>74.877921576354012</c:v>
                </c:pt>
                <c:pt idx="75">
                  <c:v>74.562572040103078</c:v>
                </c:pt>
                <c:pt idx="76">
                  <c:v>74.242245745136159</c:v>
                </c:pt>
                <c:pt idx="77">
                  <c:v>73.916966956434692</c:v>
                </c:pt>
                <c:pt idx="78">
                  <c:v>73.586767531143721</c:v>
                </c:pt>
                <c:pt idx="79">
                  <c:v>73.251687315430985</c:v>
                </c:pt>
                <c:pt idx="80">
                  <c:v>72.91177454342899</c:v>
                </c:pt>
                <c:pt idx="81">
                  <c:v>72.567086236467318</c:v>
                </c:pt>
                <c:pt idx="82">
                  <c:v>72.217688600633721</c:v>
                </c:pt>
                <c:pt idx="83">
                  <c:v>71.863657420527545</c:v>
                </c:pt>
                <c:pt idx="84">
                  <c:v>71.505078446889257</c:v>
                </c:pt>
                <c:pt idx="85">
                  <c:v>71.142047775632847</c:v>
                </c:pt>
                <c:pt idx="86">
                  <c:v>70.774672215628314</c:v>
                </c:pt>
                <c:pt idx="87">
                  <c:v>70.403069642441238</c:v>
                </c:pt>
                <c:pt idx="88">
                  <c:v>70.027369335081119</c:v>
                </c:pt>
                <c:pt idx="89">
                  <c:v>69.647712292693711</c:v>
                </c:pt>
                <c:pt idx="90">
                  <c:v>69.264251528010362</c:v>
                </c:pt>
                <c:pt idx="91">
                  <c:v>68.87715233428915</c:v>
                </c:pt>
                <c:pt idx="92">
                  <c:v>68.486592522412465</c:v>
                </c:pt>
                <c:pt idx="93">
                  <c:v>68.092762624772021</c:v>
                </c:pt>
                <c:pt idx="94">
                  <c:v>67.695866062564789</c:v>
                </c:pt>
                <c:pt idx="95">
                  <c:v>67.296119273159633</c:v>
                </c:pt>
                <c:pt idx="96">
                  <c:v>66.893751794252466</c:v>
                </c:pt>
                <c:pt idx="97">
                  <c:v>66.489006301639691</c:v>
                </c:pt>
                <c:pt idx="98">
                  <c:v>66.082138597584361</c:v>
                </c:pt>
                <c:pt idx="99">
                  <c:v>65.67341754693939</c:v>
                </c:pt>
                <c:pt idx="100">
                  <c:v>65.2631249584269</c:v>
                </c:pt>
                <c:pt idx="101">
                  <c:v>64.851555408745099</c:v>
                </c:pt>
                <c:pt idx="102">
                  <c:v>64.439016007497699</c:v>
                </c:pt>
                <c:pt idx="103">
                  <c:v>64.02582610129781</c:v>
                </c:pt>
                <c:pt idx="104">
                  <c:v>63.612316915796164</c:v>
                </c:pt>
                <c:pt idx="105">
                  <c:v>63.198831134818185</c:v>
                </c:pt>
                <c:pt idx="106">
                  <c:v>62.785722416257059</c:v>
                </c:pt>
                <c:pt idx="107">
                  <c:v>62.373354844858632</c:v>
                </c:pt>
                <c:pt idx="108">
                  <c:v>61.962102322546201</c:v>
                </c:pt>
                <c:pt idx="109">
                  <c:v>61.552347897447937</c:v>
                </c:pt>
                <c:pt idx="110">
                  <c:v>61.144483033327539</c:v>
                </c:pt>
                <c:pt idx="111">
                  <c:v>60.738906821632575</c:v>
                </c:pt>
                <c:pt idx="112">
                  <c:v>60.336025138900439</c:v>
                </c:pt>
                <c:pt idx="113">
                  <c:v>59.936249752751614</c:v>
                </c:pt>
                <c:pt idx="114">
                  <c:v>59.539997380174654</c:v>
                </c:pt>
                <c:pt idx="115">
                  <c:v>59.147688702242014</c:v>
                </c:pt>
                <c:pt idx="116">
                  <c:v>58.75974733979232</c:v>
                </c:pt>
                <c:pt idx="117">
                  <c:v>58.376598794959733</c:v>
                </c:pt>
                <c:pt idx="118">
                  <c:v>57.998669363724531</c:v>
                </c:pt>
                <c:pt idx="119">
                  <c:v>57.626385024893587</c:v>
                </c:pt>
                <c:pt idx="120">
                  <c:v>57.260170311090498</c:v>
                </c:pt>
                <c:pt idx="121">
                  <c:v>56.900447167436567</c:v>
                </c:pt>
                <c:pt idx="122">
                  <c:v>56.547633803654605</c:v>
                </c:pt>
                <c:pt idx="123">
                  <c:v>56.202143545286887</c:v>
                </c:pt>
                <c:pt idx="124">
                  <c:v>55.864383689643091</c:v>
                </c:pt>
                <c:pt idx="125">
                  <c:v>55.534754371930575</c:v>
                </c:pt>
                <c:pt idx="126">
                  <c:v>55.213647446818534</c:v>
                </c:pt>
                <c:pt idx="127">
                  <c:v>54.901445390427106</c:v>
                </c:pt>
                <c:pt idx="128">
                  <c:v>54.598520227422682</c:v>
                </c:pt>
                <c:pt idx="129">
                  <c:v>54.305232487558456</c:v>
                </c:pt>
                <c:pt idx="130">
                  <c:v>54.02193019563606</c:v>
                </c:pt>
                <c:pt idx="131">
                  <c:v>53.748947898453153</c:v>
                </c:pt>
                <c:pt idx="132">
                  <c:v>53.486605731903026</c:v>
                </c:pt>
                <c:pt idx="133">
                  <c:v>53.235208530978142</c:v>
                </c:pt>
                <c:pt idx="134">
                  <c:v>52.99504498501701</c:v>
                </c:pt>
                <c:pt idx="135">
                  <c:v>52.766386840131403</c:v>
                </c:pt>
                <c:pt idx="136">
                  <c:v>52.549488150379595</c:v>
                </c:pt>
                <c:pt idx="137">
                  <c:v>52.344584578880479</c:v>
                </c:pt>
                <c:pt idx="138">
                  <c:v>52.151892749750765</c:v>
                </c:pt>
                <c:pt idx="139">
                  <c:v>51.971609651446222</c:v>
                </c:pt>
                <c:pt idx="140">
                  <c:v>51.803912091836473</c:v>
                </c:pt>
                <c:pt idx="141">
                  <c:v>51.64895620513596</c:v>
                </c:pt>
                <c:pt idx="142">
                  <c:v>51.506877010630333</c:v>
                </c:pt>
                <c:pt idx="143">
                  <c:v>51.377788023020706</c:v>
                </c:pt>
                <c:pt idx="144">
                  <c:v>51.261780914109067</c:v>
                </c:pt>
                <c:pt idx="145">
                  <c:v>51.158925225503104</c:v>
                </c:pt>
                <c:pt idx="146">
                  <c:v>51.069268132004495</c:v>
                </c:pt>
                <c:pt idx="147">
                  <c:v>50.992834255351887</c:v>
                </c:pt>
                <c:pt idx="148">
                  <c:v>50.929625528051361</c:v>
                </c:pt>
                <c:pt idx="149">
                  <c:v>50.879621107069752</c:v>
                </c:pt>
                <c:pt idx="150">
                  <c:v>50.842777337261701</c:v>
                </c:pt>
                <c:pt idx="151">
                  <c:v>50.81902776448598</c:v>
                </c:pt>
                <c:pt idx="152">
                  <c:v>50.808283198458469</c:v>
                </c:pt>
                <c:pt idx="153">
                  <c:v>50.810431825474105</c:v>
                </c:pt>
                <c:pt idx="154">
                  <c:v>50.825339371216103</c:v>
                </c:pt>
                <c:pt idx="155">
                  <c:v>50.85284931392529</c:v>
                </c:pt>
                <c:pt idx="156">
                  <c:v>50.892783148242827</c:v>
                </c:pt>
                <c:pt idx="157">
                  <c:v>50.944940700056932</c:v>
                </c:pt>
                <c:pt idx="158">
                  <c:v>51.009100492655506</c:v>
                </c:pt>
                <c:pt idx="159">
                  <c:v>51.085020164436429</c:v>
                </c:pt>
                <c:pt idx="160">
                  <c:v>51.172436938333014</c:v>
                </c:pt>
                <c:pt idx="161">
                  <c:v>51.27106814296836</c:v>
                </c:pt>
                <c:pt idx="162">
                  <c:v>51.380611785383643</c:v>
                </c:pt>
                <c:pt idx="163">
                  <c:v>51.500747174960473</c:v>
                </c:pt>
                <c:pt idx="164">
                  <c:v>51.631135597899224</c:v>
                </c:pt>
                <c:pt idx="165">
                  <c:v>51.77142104131898</c:v>
                </c:pt>
                <c:pt idx="166">
                  <c:v>51.921230965712965</c:v>
                </c:pt>
                <c:pt idx="167">
                  <c:v>52.080177124129811</c:v>
                </c:pt>
                <c:pt idx="168">
                  <c:v>52.247856426073291</c:v>
                </c:pt>
                <c:pt idx="169">
                  <c:v>52.423851843706345</c:v>
                </c:pt>
                <c:pt idx="170">
                  <c:v>52.607733357533803</c:v>
                </c:pt>
                <c:pt idx="171">
                  <c:v>52.799058938330894</c:v>
                </c:pt>
                <c:pt idx="172">
                  <c:v>52.997375561671561</c:v>
                </c:pt>
                <c:pt idx="173">
                  <c:v>53.20222025102273</c:v>
                </c:pt>
                <c:pt idx="174">
                  <c:v>53.413121145000964</c:v>
                </c:pt>
                <c:pt idx="175">
                  <c:v>53.629598584051934</c:v>
                </c:pt>
                <c:pt idx="176">
                  <c:v>53.85116621151213</c:v>
                </c:pt>
                <c:pt idx="177">
                  <c:v>54.077332083765668</c:v>
                </c:pt>
                <c:pt idx="178">
                  <c:v>54.307599784006491</c:v>
                </c:pt>
                <c:pt idx="179">
                  <c:v>54.541469533976468</c:v>
                </c:pt>
                <c:pt idx="180">
                  <c:v>54.778439297969513</c:v>
                </c:pt>
                <c:pt idx="181">
                  <c:v>55.018005873378911</c:v>
                </c:pt>
                <c:pt idx="182">
                  <c:v>55.259665962116451</c:v>
                </c:pt>
                <c:pt idx="183">
                  <c:v>55.50291721734726</c:v>
                </c:pt>
                <c:pt idx="184">
                  <c:v>55.747259260168164</c:v>
                </c:pt>
                <c:pt idx="185">
                  <c:v>55.992194661102914</c:v>
                </c:pt>
                <c:pt idx="186">
                  <c:v>56.237229881590423</c:v>
                </c:pt>
                <c:pt idx="187">
                  <c:v>56.481876170995882</c:v>
                </c:pt>
                <c:pt idx="188">
                  <c:v>56.725650415081432</c:v>
                </c:pt>
                <c:pt idx="189">
                  <c:v>56.968075932317682</c:v>
                </c:pt>
                <c:pt idx="190">
                  <c:v>57.208683214891067</c:v>
                </c:pt>
                <c:pt idx="191">
                  <c:v>57.447010611767936</c:v>
                </c:pt>
                <c:pt idx="192">
                  <c:v>57.682604951694977</c:v>
                </c:pt>
                <c:pt idx="193">
                  <c:v>57.91502210454442</c:v>
                </c:pt>
                <c:pt idx="194">
                  <c:v>58.143827479941415</c:v>
                </c:pt>
                <c:pt idx="195">
                  <c:v>58.368596462635601</c:v>
                </c:pt>
                <c:pt idx="196">
                  <c:v>58.588914784584951</c:v>
                </c:pt>
                <c:pt idx="197">
                  <c:v>58.804378834213999</c:v>
                </c:pt>
                <c:pt idx="198">
                  <c:v>59.014595903766327</c:v>
                </c:pt>
                <c:pt idx="199">
                  <c:v>59.219184376104849</c:v>
                </c:pt>
                <c:pt idx="200">
                  <c:v>59.417773852709132</c:v>
                </c:pt>
                <c:pt idx="201">
                  <c:v>59.610005224980327</c:v>
                </c:pt>
                <c:pt idx="202">
                  <c:v>59.795530691270599</c:v>
                </c:pt>
                <c:pt idx="203">
                  <c:v>59.974013722344147</c:v>
                </c:pt>
                <c:pt idx="204">
                  <c:v>60.145128978192361</c:v>
                </c:pt>
                <c:pt idx="205">
                  <c:v>60.308562179324355</c:v>
                </c:pt>
                <c:pt idx="206">
                  <c:v>60.464009935798757</c:v>
                </c:pt>
                <c:pt idx="207">
                  <c:v>60.611179537361231</c:v>
                </c:pt>
                <c:pt idx="208">
                  <c:v>60.749788708135334</c:v>
                </c:pt>
                <c:pt idx="209">
                  <c:v>60.879565329320776</c:v>
                </c:pt>
                <c:pt idx="210">
                  <c:v>61.000247133380178</c:v>
                </c:pt>
                <c:pt idx="211">
                  <c:v>61.111581373136204</c:v>
                </c:pt>
                <c:pt idx="212">
                  <c:v>61.213324469158685</c:v>
                </c:pt>
                <c:pt idx="213">
                  <c:v>61.305241638729377</c:v>
                </c:pt>
                <c:pt idx="214">
                  <c:v>61.387106509571787</c:v>
                </c:pt>
                <c:pt idx="215">
                  <c:v>61.458700721411361</c:v>
                </c:pt>
                <c:pt idx="216">
                  <c:v>61.519813518294491</c:v>
                </c:pt>
                <c:pt idx="217">
                  <c:v>61.570241334456952</c:v>
                </c:pt>
                <c:pt idx="218">
                  <c:v>61.609787376365766</c:v>
                </c:pt>
                <c:pt idx="219">
                  <c:v>61.638261203418296</c:v>
                </c:pt>
                <c:pt idx="220">
                  <c:v>61.655478309601456</c:v>
                </c:pt>
                <c:pt idx="221">
                  <c:v>61.661259708268382</c:v>
                </c:pt>
                <c:pt idx="222">
                  <c:v>61.655431522025133</c:v>
                </c:pt>
                <c:pt idx="223">
                  <c:v>61.637824579557247</c:v>
                </c:pt>
                <c:pt idx="224">
                  <c:v>61.608274021085236</c:v>
                </c:pt>
                <c:pt idx="225">
                  <c:v>61.566618913987448</c:v>
                </c:pt>
                <c:pt idx="226">
                  <c:v>61.512701879983993</c:v>
                </c:pt>
                <c:pt idx="227">
                  <c:v>61.446368735160902</c:v>
                </c:pt>
                <c:pt idx="228">
                  <c:v>61.367468143975145</c:v>
                </c:pt>
                <c:pt idx="229">
                  <c:v>61.275851288278659</c:v>
                </c:pt>
                <c:pt idx="230">
                  <c:v>61.171371552293245</c:v>
                </c:pt>
                <c:pt idx="231">
                  <c:v>61.053884224372034</c:v>
                </c:pt>
                <c:pt idx="232">
                  <c:v>60.923246216302779</c:v>
                </c:pt>
                <c:pt idx="233">
                  <c:v>60.77931580082452</c:v>
                </c:pt>
                <c:pt idx="234">
                  <c:v>60.621952367976469</c:v>
                </c:pt>
                <c:pt idx="235">
                  <c:v>60.451016200821854</c:v>
                </c:pt>
                <c:pt idx="236">
                  <c:v>60.266368271055264</c:v>
                </c:pt>
                <c:pt idx="237">
                  <c:v>60.067870054952181</c:v>
                </c:pt>
                <c:pt idx="238">
                  <c:v>59.855383370087246</c:v>
                </c:pt>
                <c:pt idx="239">
                  <c:v>59.62877023321434</c:v>
                </c:pt>
                <c:pt idx="240">
                  <c:v>59.38789273969261</c:v>
                </c:pt>
                <c:pt idx="241">
                  <c:v>59.132612964806981</c:v>
                </c:pt>
                <c:pt idx="242">
                  <c:v>58.862792887339474</c:v>
                </c:pt>
                <c:pt idx="243">
                  <c:v>58.578294335723911</c:v>
                </c:pt>
                <c:pt idx="244">
                  <c:v>58.278978957122433</c:v>
                </c:pt>
                <c:pt idx="245">
                  <c:v>57.964708209755287</c:v>
                </c:pt>
                <c:pt idx="246">
                  <c:v>57.635343378817545</c:v>
                </c:pt>
                <c:pt idx="247">
                  <c:v>57.290745616314126</c:v>
                </c:pt>
                <c:pt idx="248">
                  <c:v>56.930776005153255</c:v>
                </c:pt>
                <c:pt idx="249">
                  <c:v>56.555295647828899</c:v>
                </c:pt>
                <c:pt idx="250">
                  <c:v>56.164165780030977</c:v>
                </c:pt>
                <c:pt idx="251">
                  <c:v>55.757247909515783</c:v>
                </c:pt>
                <c:pt idx="252">
                  <c:v>55.334403980562492</c:v>
                </c:pt>
                <c:pt idx="253">
                  <c:v>54.895496564335915</c:v>
                </c:pt>
                <c:pt idx="254">
                  <c:v>54.44038907545356</c:v>
                </c:pt>
                <c:pt idx="255">
                  <c:v>53.968946015046917</c:v>
                </c:pt>
                <c:pt idx="256">
                  <c:v>53.481033240569801</c:v>
                </c:pt>
                <c:pt idx="257">
                  <c:v>52.976518262574466</c:v>
                </c:pt>
                <c:pt idx="258">
                  <c:v>52.455270568642497</c:v>
                </c:pt>
                <c:pt idx="259">
                  <c:v>51.917161974591131</c:v>
                </c:pt>
                <c:pt idx="260">
                  <c:v>51.362067003028429</c:v>
                </c:pt>
                <c:pt idx="261">
                  <c:v>50.789863289247961</c:v>
                </c:pt>
                <c:pt idx="262">
                  <c:v>50.200432014374627</c:v>
                </c:pt>
                <c:pt idx="263">
                  <c:v>49.59365836557037</c:v>
                </c:pt>
                <c:pt idx="264">
                  <c:v>48.969432023005155</c:v>
                </c:pt>
                <c:pt idx="265">
                  <c:v>48.327647673168556</c:v>
                </c:pt>
                <c:pt idx="266">
                  <c:v>47.668205547957399</c:v>
                </c:pt>
                <c:pt idx="267">
                  <c:v>46.991011988825832</c:v>
                </c:pt>
                <c:pt idx="268">
                  <c:v>46.29598003510776</c:v>
                </c:pt>
                <c:pt idx="269">
                  <c:v>45.583030035443848</c:v>
                </c:pt>
                <c:pt idx="270">
                  <c:v>44.852090281036716</c:v>
                </c:pt>
                <c:pt idx="271">
                  <c:v>44.103097659248824</c:v>
                </c:pt>
                <c:pt idx="272">
                  <c:v>43.335998325824846</c:v>
                </c:pt>
                <c:pt idx="273">
                  <c:v>42.55074839377415</c:v>
                </c:pt>
                <c:pt idx="274">
                  <c:v>41.747314636697929</c:v>
                </c:pt>
                <c:pt idx="275">
                  <c:v>40.925675204069535</c:v>
                </c:pt>
                <c:pt idx="276">
                  <c:v>40.085820345705208</c:v>
                </c:pt>
                <c:pt idx="277">
                  <c:v>39.227753142375818</c:v>
                </c:pt>
                <c:pt idx="278">
                  <c:v>38.351490239217348</c:v>
                </c:pt>
                <c:pt idx="279">
                  <c:v>37.457062578310399</c:v>
                </c:pt>
                <c:pt idx="280">
                  <c:v>36.54451612650309</c:v>
                </c:pt>
                <c:pt idx="281">
                  <c:v>35.613912594272122</c:v>
                </c:pt>
                <c:pt idx="282">
                  <c:v>34.665330141133275</c:v>
                </c:pt>
                <c:pt idx="283">
                  <c:v>33.698864062859485</c:v>
                </c:pt>
                <c:pt idx="284">
                  <c:v>32.714627455503674</c:v>
                </c:pt>
                <c:pt idx="285">
                  <c:v>31.712751851021956</c:v>
                </c:pt>
                <c:pt idx="286">
                  <c:v>30.693387819089203</c:v>
                </c:pt>
                <c:pt idx="287">
                  <c:v>29.656705529529962</c:v>
                </c:pt>
                <c:pt idx="288">
                  <c:v>28.60289526969801</c:v>
                </c:pt>
                <c:pt idx="289">
                  <c:v>27.53216791102767</c:v>
                </c:pt>
                <c:pt idx="290">
                  <c:v>26.444755318984278</c:v>
                </c:pt>
                <c:pt idx="291">
                  <c:v>25.34091070065265</c:v>
                </c:pt>
                <c:pt idx="292">
                  <c:v>24.220908884302428</c:v>
                </c:pt>
                <c:pt idx="293">
                  <c:v>23.085046525423433</c:v>
                </c:pt>
                <c:pt idx="294">
                  <c:v>21.933642233930705</c:v>
                </c:pt>
                <c:pt idx="295">
                  <c:v>20.767036617552911</c:v>
                </c:pt>
                <c:pt idx="296">
                  <c:v>19.585592236752177</c:v>
                </c:pt>
                <c:pt idx="297">
                  <c:v>18.389693466980315</c:v>
                </c:pt>
                <c:pt idx="298">
                  <c:v>17.179746264560141</c:v>
                </c:pt>
                <c:pt idx="299">
                  <c:v>15.956177833065546</c:v>
                </c:pt>
                <c:pt idx="300">
                  <c:v>14.719436187713198</c:v>
                </c:pt>
                <c:pt idx="301">
                  <c:v>13.469989615967558</c:v>
                </c:pt>
                <c:pt idx="302">
                  <c:v>12.208326033331431</c:v>
                </c:pt>
                <c:pt idx="303">
                  <c:v>10.934952234088442</c:v>
                </c:pt>
                <c:pt idx="304">
                  <c:v>9.6503930376120763</c:v>
                </c:pt>
                <c:pt idx="305">
                  <c:v>8.3551903317297942</c:v>
                </c:pt>
                <c:pt idx="306">
                  <c:v>7.0499020155254941</c:v>
                </c:pt>
                <c:pt idx="307">
                  <c:v>5.7351008448589953</c:v>
                </c:pt>
                <c:pt idx="308">
                  <c:v>4.4113731847913522</c:v>
                </c:pt>
                <c:pt idx="309">
                  <c:v>3.0793176739717381</c:v>
                </c:pt>
                <c:pt idx="310">
                  <c:v>1.7395438068986973</c:v>
                </c:pt>
                <c:pt idx="311">
                  <c:v>0.39267044077040897</c:v>
                </c:pt>
                <c:pt idx="312">
                  <c:v>-0.96067576560016821</c:v>
                </c:pt>
                <c:pt idx="313">
                  <c:v>-2.3198619726652541</c:v>
                </c:pt>
                <c:pt idx="314">
                  <c:v>-3.6842508320508771</c:v>
                </c:pt>
                <c:pt idx="315">
                  <c:v>-5.0532022002315067</c:v>
                </c:pt>
                <c:pt idx="316">
                  <c:v>-6.4260748842868356</c:v>
                </c:pt>
                <c:pt idx="317">
                  <c:v>-7.8022284097306827</c:v>
                </c:pt>
                <c:pt idx="318">
                  <c:v>-9.1810248002305013</c:v>
                </c:pt>
                <c:pt idx="319">
                  <c:v>-10.561830358922375</c:v>
                </c:pt>
                <c:pt idx="320">
                  <c:v>-11.944017441066627</c:v>
                </c:pt>
                <c:pt idx="321">
                  <c:v>-13.326966207941126</c:v>
                </c:pt>
                <c:pt idx="322">
                  <c:v>-14.710066352116582</c:v>
                </c:pt>
                <c:pt idx="323">
                  <c:v>-16.092718784636929</c:v>
                </c:pt>
                <c:pt idx="324">
                  <c:v>-17.474337275095834</c:v>
                </c:pt>
                <c:pt idx="325">
                  <c:v>-18.85435003615828</c:v>
                </c:pt>
                <c:pt idx="326">
                  <c:v>-20.232201244760304</c:v>
                </c:pt>
                <c:pt idx="327">
                  <c:v>-21.607352492910888</c:v>
                </c:pt>
                <c:pt idx="328">
                  <c:v>-22.979284161852178</c:v>
                </c:pt>
                <c:pt idx="329">
                  <c:v>-24.347496714165416</c:v>
                </c:pt>
                <c:pt idx="330">
                  <c:v>-25.711511899291036</c:v>
                </c:pt>
                <c:pt idx="331">
                  <c:v>-27.070873868875879</c:v>
                </c:pt>
                <c:pt idx="332">
                  <c:v>-28.425150199260347</c:v>
                </c:pt>
                <c:pt idx="333">
                  <c:v>-29.773932819373233</c:v>
                </c:pt>
                <c:pt idx="334">
                  <c:v>-31.116838843211987</c:v>
                </c:pt>
                <c:pt idx="335">
                  <c:v>-32.453511306996319</c:v>
                </c:pt>
                <c:pt idx="336">
                  <c:v>-33.783619811941222</c:v>
                </c:pt>
                <c:pt idx="337">
                  <c:v>-35.106861074445234</c:v>
                </c:pt>
                <c:pt idx="338">
                  <c:v>-36.422959386242937</c:v>
                </c:pt>
                <c:pt idx="339">
                  <c:v>-37.731666987819501</c:v>
                </c:pt>
                <c:pt idx="340">
                  <c:v>-39.03276435903414</c:v>
                </c:pt>
                <c:pt idx="341">
                  <c:v>-40.326060431511706</c:v>
                </c:pt>
                <c:pt idx="342">
                  <c:v>-41.611392727872847</c:v>
                </c:pt>
                <c:pt idx="343">
                  <c:v>-42.888627433367319</c:v>
                </c:pt>
                <c:pt idx="344">
                  <c:v>-44.157659405836448</c:v>
                </c:pt>
                <c:pt idx="345">
                  <c:v>-45.418412130284644</c:v>
                </c:pt>
                <c:pt idx="346">
                  <c:v>-46.670837624582859</c:v>
                </c:pt>
                <c:pt idx="347">
                  <c:v>-47.914916303030914</c:v>
                </c:pt>
                <c:pt idx="348">
                  <c:v>-49.150656804646275</c:v>
                </c:pt>
                <c:pt idx="349">
                  <c:v>-50.378095793125894</c:v>
                </c:pt>
                <c:pt idx="350">
                  <c:v>-51.597297735452855</c:v>
                </c:pt>
                <c:pt idx="351">
                  <c:v>-52.808354666123222</c:v>
                </c:pt>
                <c:pt idx="352">
                  <c:v>-54.01138594389159</c:v>
                </c:pt>
                <c:pt idx="353">
                  <c:v>-55.206538007854668</c:v>
                </c:pt>
                <c:pt idx="354">
                  <c:v>-56.393984139572183</c:v>
                </c:pt>
                <c:pt idx="355">
                  <c:v>-57.573924237754476</c:v>
                </c:pt>
                <c:pt idx="356">
                  <c:v>-58.746584611905782</c:v>
                </c:pt>
                <c:pt idx="357">
                  <c:v>-59.912217801086285</c:v>
                </c:pt>
                <c:pt idx="358">
                  <c:v>-61.071102423775208</c:v>
                </c:pt>
                <c:pt idx="359">
                  <c:v>-62.223543064582294</c:v>
                </c:pt>
                <c:pt idx="360">
                  <c:v>-63.369870203328325</c:v>
                </c:pt>
                <c:pt idx="361">
                  <c:v>-64.510440191767245</c:v>
                </c:pt>
                <c:pt idx="362">
                  <c:v>-65.645635282969877</c:v>
                </c:pt>
                <c:pt idx="363">
                  <c:v>-66.775863718117506</c:v>
                </c:pt>
                <c:pt idx="364">
                  <c:v>-67.901559875167507</c:v>
                </c:pt>
                <c:pt idx="365">
                  <c:v>-69.023184483545606</c:v>
                </c:pt>
                <c:pt idx="366">
                  <c:v>-70.141224908684421</c:v>
                </c:pt>
                <c:pt idx="367">
                  <c:v>-71.256195509855772</c:v>
                </c:pt>
                <c:pt idx="368">
                  <c:v>-72.368638074327436</c:v>
                </c:pt>
                <c:pt idx="369">
                  <c:v>-73.479122330400003</c:v>
                </c:pt>
                <c:pt idx="370">
                  <c:v>-74.588246541324168</c:v>
                </c:pt>
                <c:pt idx="371">
                  <c:v>-75.696638181455128</c:v>
                </c:pt>
                <c:pt idx="372">
                  <c:v>-76.804954695238919</c:v>
                </c:pt>
                <c:pt idx="373">
                  <c:v>-77.913884338710389</c:v>
                </c:pt>
                <c:pt idx="374">
                  <c:v>-79.024147102106582</c:v>
                </c:pt>
                <c:pt idx="375">
                  <c:v>-80.136495710889278</c:v>
                </c:pt>
                <c:pt idx="376">
                  <c:v>-81.251716700914585</c:v>
                </c:pt>
                <c:pt idx="377">
                  <c:v>-82.37063156161237</c:v>
                </c:pt>
                <c:pt idx="378">
                  <c:v>-83.494097938790404</c:v>
                </c:pt>
                <c:pt idx="379">
                  <c:v>-84.623010885994546</c:v>
                </c:pt>
                <c:pt idx="380">
                  <c:v>-85.758304150135089</c:v>
                </c:pt>
                <c:pt idx="381">
                  <c:v>-86.900951473273338</c:v>
                </c:pt>
                <c:pt idx="382">
                  <c:v>-88.051967887922984</c:v>
                </c:pt>
                <c:pt idx="383">
                  <c:v>-89.212410977838502</c:v>
                </c:pt>
                <c:pt idx="384">
                  <c:v>-90.383382069953669</c:v>
                </c:pt>
                <c:pt idx="385">
                  <c:v>-91.566027315699372</c:v>
                </c:pt>
                <c:pt idx="386">
                  <c:v>-92.761538611291655</c:v>
                </c:pt>
                <c:pt idx="387">
                  <c:v>-93.97115429653266</c:v>
                </c:pt>
                <c:pt idx="388">
                  <c:v>-95.196159560109265</c:v>
                </c:pt>
                <c:pt idx="389">
                  <c:v>-96.437886466146594</c:v>
                </c:pt>
                <c:pt idx="390">
                  <c:v>-97.697713501774942</c:v>
                </c:pt>
                <c:pt idx="391">
                  <c:v>-98.977064528649436</c:v>
                </c:pt>
                <c:pt idx="392">
                  <c:v>-100.2774070027038</c:v>
                </c:pt>
                <c:pt idx="393">
                  <c:v>-101.60024930606103</c:v>
                </c:pt>
                <c:pt idx="394">
                  <c:v>-102.94713701320153</c:v>
                </c:pt>
                <c:pt idx="395">
                  <c:v>-104.31964789068135</c:v>
                </c:pt>
                <c:pt idx="396">
                  <c:v>-105.71938540659825</c:v>
                </c:pt>
                <c:pt idx="397">
                  <c:v>-107.14797050372617</c:v>
                </c:pt>
                <c:pt idx="398">
                  <c:v>-108.60703137024682</c:v>
                </c:pt>
                <c:pt idx="399">
                  <c:v>-110.09819092635728</c:v>
                </c:pt>
                <c:pt idx="400">
                  <c:v>-111.62305173634243</c:v>
                </c:pt>
                <c:pt idx="401">
                  <c:v>-113.1831780573397</c:v>
                </c:pt>
                <c:pt idx="402">
                  <c:v>-114.78007475205129</c:v>
                </c:pt>
                <c:pt idx="403">
                  <c:v>-116.41516282786357</c:v>
                </c:pt>
                <c:pt idx="404">
                  <c:v>-118.08975142463483</c:v>
                </c:pt>
                <c:pt idx="405">
                  <c:v>-119.8050061635156</c:v>
                </c:pt>
                <c:pt idx="406">
                  <c:v>-121.56191389520563</c:v>
                </c:pt>
                <c:pt idx="407">
                  <c:v>-123.36124405282695</c:v>
                </c:pt>
                <c:pt idx="408">
                  <c:v>-125.20350702516409</c:v>
                </c:pt>
                <c:pt idx="409">
                  <c:v>-127.08891022041844</c:v>
                </c:pt>
                <c:pt idx="410">
                  <c:v>-129.01731278446499</c:v>
                </c:pt>
                <c:pt idx="411">
                  <c:v>-130.98818026053218</c:v>
                </c:pt>
                <c:pt idx="412">
                  <c:v>-133.00054081156705</c:v>
                </c:pt>
                <c:pt idx="413">
                  <c:v>-135.05294494648777</c:v>
                </c:pt>
                <c:pt idx="414">
                  <c:v>-137.1434309632269</c:v>
                </c:pt>
                <c:pt idx="415">
                  <c:v>-139.2694985045955</c:v>
                </c:pt>
                <c:pt idx="416">
                  <c:v>-141.4280926741645</c:v>
                </c:pt>
                <c:pt idx="417">
                  <c:v>-143.61560103732603</c:v>
                </c:pt>
                <c:pt idx="418">
                  <c:v>-145.82786550549429</c:v>
                </c:pt>
                <c:pt idx="419">
                  <c:v>-148.06021055400066</c:v>
                </c:pt>
                <c:pt idx="420">
                  <c:v>-150.3074884658518</c:v>
                </c:pt>
                <c:pt idx="421">
                  <c:v>-152.56414136247713</c:v>
                </c:pt>
                <c:pt idx="422">
                  <c:v>-154.82427874688059</c:v>
                </c:pt>
                <c:pt idx="423">
                  <c:v>-157.08176823722701</c:v>
                </c:pt>
                <c:pt idx="424">
                  <c:v>-159.33033621698317</c:v>
                </c:pt>
                <c:pt idx="425">
                  <c:v>-161.56367437808728</c:v>
                </c:pt>
                <c:pt idx="426">
                  <c:v>-163.7755476752213</c:v>
                </c:pt>
                <c:pt idx="427">
                  <c:v>-165.9598990987495</c:v>
                </c:pt>
                <c:pt idx="428">
                  <c:v>-168.11094692506003</c:v>
                </c:pt>
                <c:pt idx="429">
                  <c:v>-170.22327068455309</c:v>
                </c:pt>
                <c:pt idx="430">
                  <c:v>-172.2918829284697</c:v>
                </c:pt>
                <c:pt idx="431">
                  <c:v>-174.31228487829279</c:v>
                </c:pt>
                <c:pt idx="432">
                  <c:v>-176.28050509646559</c:v>
                </c:pt>
                <c:pt idx="433">
                  <c:v>-178.19312132174454</c:v>
                </c:pt>
                <c:pt idx="434">
                  <c:v>179.95273351777482</c:v>
                </c:pt>
                <c:pt idx="435">
                  <c:v>178.15937942241197</c:v>
                </c:pt>
                <c:pt idx="436">
                  <c:v>176.42860941731297</c:v>
                </c:pt>
                <c:pt idx="437">
                  <c:v>174.76171923164904</c:v>
                </c:pt>
                <c:pt idx="438">
                  <c:v>173.15954411518155</c:v>
                </c:pt>
                <c:pt idx="439">
                  <c:v>171.62250045495034</c:v>
                </c:pt>
                <c:pt idx="440">
                  <c:v>170.15063007788473</c:v>
                </c:pt>
                <c:pt idx="441">
                  <c:v>168.74364542031731</c:v>
                </c:pt>
                <c:pt idx="442">
                  <c:v>167.40097407467337</c:v>
                </c:pt>
                <c:pt idx="443">
                  <c:v>166.12180155614843</c:v>
                </c:pt>
                <c:pt idx="444">
                  <c:v>164.90511144548441</c:v>
                </c:pt>
                <c:pt idx="445">
                  <c:v>163.74972234327061</c:v>
                </c:pt>
                <c:pt idx="446">
                  <c:v>162.65432130875899</c:v>
                </c:pt>
                <c:pt idx="447">
                  <c:v>161.61749364946095</c:v>
                </c:pt>
                <c:pt idx="448">
                  <c:v>160.6377490782356</c:v>
                </c:pt>
                <c:pt idx="449">
                  <c:v>159.71354436598344</c:v>
                </c:pt>
                <c:pt idx="450">
                  <c:v>158.84330269573618</c:v>
                </c:pt>
                <c:pt idx="451">
                  <c:v>158.02542997351995</c:v>
                </c:pt>
                <c:pt idx="452">
                  <c:v>157.25832837858746</c:v>
                </c:pt>
                <c:pt idx="453">
                  <c:v>156.54040744559211</c:v>
                </c:pt>
                <c:pt idx="454">
                  <c:v>155.87009296854345</c:v>
                </c:pt>
                <c:pt idx="455">
                  <c:v>155.24583400475237</c:v>
                </c:pt>
                <c:pt idx="456">
                  <c:v>154.66610823945203</c:v>
                </c:pt>
                <c:pt idx="457">
                  <c:v>154.12942595080395</c:v>
                </c:pt>
                <c:pt idx="458">
                  <c:v>153.63433279235321</c:v>
                </c:pt>
                <c:pt idx="459">
                  <c:v>153.17941158700268</c:v>
                </c:pt>
                <c:pt idx="460">
                  <c:v>152.76328330415481</c:v>
                </c:pt>
                <c:pt idx="461">
                  <c:v>152.38460737044068</c:v>
                </c:pt>
                <c:pt idx="462">
                  <c:v>152.04208144477488</c:v>
                </c:pt>
                <c:pt idx="463">
                  <c:v>151.73444077054259</c:v>
                </c:pt>
                <c:pt idx="464">
                  <c:v>151.46045720159645</c:v>
                </c:pt>
                <c:pt idx="465">
                  <c:v>151.21893798440743</c:v>
                </c:pt>
                <c:pt idx="466">
                  <c:v>151.00872436606591</c:v>
                </c:pt>
                <c:pt idx="467">
                  <c:v>150.82869008676028</c:v>
                </c:pt>
                <c:pt idx="468">
                  <c:v>150.67773980574313</c:v>
                </c:pt>
                <c:pt idx="469">
                  <c:v>150.55480750143488</c:v>
                </c:pt>
                <c:pt idx="470">
                  <c:v>150.45885487913858</c:v>
                </c:pt>
                <c:pt idx="471">
                  <c:v>150.38886981362464</c:v>
                </c:pt>
                <c:pt idx="472">
                  <c:v>150.34386484852979</c:v>
                </c:pt>
                <c:pt idx="473">
                  <c:v>150.32287576993511</c:v>
                </c:pt>
                <c:pt idx="474">
                  <c:v>150.32496026757042</c:v>
                </c:pt>
                <c:pt idx="475">
                  <c:v>150.34919669370214</c:v>
                </c:pt>
                <c:pt idx="476">
                  <c:v>150.39468292688525</c:v>
                </c:pt>
                <c:pt idx="477">
                  <c:v>150.46053534523242</c:v>
                </c:pt>
                <c:pt idx="478">
                  <c:v>150.54588791171781</c:v>
                </c:pt>
                <c:pt idx="479">
                  <c:v>150.64989137215917</c:v>
                </c:pt>
                <c:pt idx="480">
                  <c:v>150.77171256491519</c:v>
                </c:pt>
                <c:pt idx="481">
                  <c:v>150.91053383993855</c:v>
                </c:pt>
                <c:pt idx="482">
                  <c:v>151.06555258362789</c:v>
                </c:pt>
                <c:pt idx="483">
                  <c:v>151.23598084489316</c:v>
                </c:pt>
                <c:pt idx="484">
                  <c:v>151.42104505696139</c:v>
                </c:pt>
                <c:pt idx="485">
                  <c:v>151.61998584872154</c:v>
                </c:pt>
                <c:pt idx="486">
                  <c:v>151.83205793879108</c:v>
                </c:pt>
                <c:pt idx="487">
                  <c:v>152.05653010499603</c:v>
                </c:pt>
                <c:pt idx="488">
                  <c:v>152.29268522158173</c:v>
                </c:pt>
                <c:pt idx="489">
                  <c:v>152.5398203562049</c:v>
                </c:pt>
                <c:pt idx="490">
                  <c:v>152.79724691858775</c:v>
                </c:pt>
                <c:pt idx="491">
                  <c:v>153.06429085265248</c:v>
                </c:pt>
                <c:pt idx="492">
                  <c:v>153.34029286397717</c:v>
                </c:pt>
                <c:pt idx="493">
                  <c:v>153.62460867453868</c:v>
                </c:pt>
                <c:pt idx="494">
                  <c:v>153.91660929689263</c:v>
                </c:pt>
                <c:pt idx="495">
                  <c:v>154.2156813202327</c:v>
                </c:pt>
                <c:pt idx="496">
                  <c:v>154.52122720110626</c:v>
                </c:pt>
                <c:pt idx="497">
                  <c:v>154.83266555197577</c:v>
                </c:pt>
                <c:pt idx="498">
                  <c:v>155.14943142128266</c:v>
                </c:pt>
                <c:pt idx="499">
                  <c:v>155.47097655917887</c:v>
                </c:pt>
                <c:pt idx="500">
                  <c:v>155.79676966363741</c:v>
                </c:pt>
                <c:pt idx="501">
                  <c:v>156.12629660223593</c:v>
                </c:pt>
                <c:pt idx="502">
                  <c:v>156.45906060550016</c:v>
                </c:pt>
                <c:pt idx="503">
                  <c:v>156.79458242830424</c:v>
                </c:pt>
                <c:pt idx="504">
                  <c:v>157.13240047643149</c:v>
                </c:pt>
                <c:pt idx="505">
                  <c:v>157.47207089601176</c:v>
                </c:pt>
                <c:pt idx="506">
                  <c:v>157.81316762412391</c:v>
                </c:pt>
                <c:pt idx="507">
                  <c:v>158.15528239944169</c:v>
                </c:pt>
                <c:pt idx="508">
                  <c:v>158.49802473232788</c:v>
                </c:pt>
                <c:pt idx="509">
                  <c:v>158.84102183429164</c:v>
                </c:pt>
                <c:pt idx="510">
                  <c:v>159.18391850720354</c:v>
                </c:pt>
                <c:pt idx="511">
                  <c:v>159.52637699308468</c:v>
                </c:pt>
                <c:pt idx="512">
                  <c:v>159.86807678567905</c:v>
                </c:pt>
                <c:pt idx="513">
                  <c:v>160.20871440535575</c:v>
                </c:pt>
                <c:pt idx="514">
                  <c:v>160.54800313918881</c:v>
                </c:pt>
                <c:pt idx="515">
                  <c:v>160.88567274830757</c:v>
                </c:pt>
                <c:pt idx="516">
                  <c:v>161.22146914481968</c:v>
                </c:pt>
                <c:pt idx="517">
                  <c:v>161.55515404076226</c:v>
                </c:pt>
                <c:pt idx="518">
                  <c:v>161.88650457166716</c:v>
                </c:pt>
                <c:pt idx="519">
                  <c:v>162.21531289738942</c:v>
                </c:pt>
                <c:pt idx="520">
                  <c:v>162.54138578290298</c:v>
                </c:pt>
                <c:pt idx="521">
                  <c:v>162.86454416176804</c:v>
                </c:pt>
                <c:pt idx="522">
                  <c:v>163.1846226849552</c:v>
                </c:pt>
                <c:pt idx="523">
                  <c:v>163.50146925765881</c:v>
                </c:pt>
                <c:pt idx="524">
                  <c:v>163.81494456665894</c:v>
                </c:pt>
                <c:pt idx="525">
                  <c:v>164.1249216007015</c:v>
                </c:pt>
                <c:pt idx="526">
                  <c:v>164.43128516624202</c:v>
                </c:pt>
                <c:pt idx="527">
                  <c:v>164.73393140079415</c:v>
                </c:pt>
                <c:pt idx="528">
                  <c:v>165.03276728596421</c:v>
                </c:pt>
                <c:pt idx="529">
                  <c:v>165.32771016212939</c:v>
                </c:pt>
                <c:pt idx="530">
                  <c:v>165.61868724655471</c:v>
                </c:pt>
                <c:pt idx="531">
                  <c:v>165.90563515659701</c:v>
                </c:pt>
                <c:pt idx="532">
                  <c:v>166.18849943949093</c:v>
                </c:pt>
                <c:pt idx="533">
                  <c:v>166.46723411005871</c:v>
                </c:pt>
                <c:pt idx="534">
                  <c:v>166.74180119753342</c:v>
                </c:pt>
                <c:pt idx="535">
                  <c:v>167.01217030254588</c:v>
                </c:pt>
                <c:pt idx="536">
                  <c:v>167.27831816517761</c:v>
                </c:pt>
                <c:pt idx="537">
                  <c:v>167.54022824485412</c:v>
                </c:pt>
                <c:pt idx="538">
                  <c:v>167.79789031272011</c:v>
                </c:pt>
                <c:pt idx="539">
                  <c:v>168.05130005702225</c:v>
                </c:pt>
                <c:pt idx="540">
                  <c:v>168.30045870190733</c:v>
                </c:pt>
                <c:pt idx="541">
                  <c:v>168.54537263994837</c:v>
                </c:pt>
              </c:numCache>
            </c:numRef>
          </c:yVal>
          <c:smooth val="1"/>
          <c:extLst>
            <c:ext xmlns:c16="http://schemas.microsoft.com/office/drawing/2014/chart" uri="{C3380CC4-5D6E-409C-BE32-E72D297353CC}">
              <c16:uniqueId val="{00000001-D42D-4D3E-8F18-949424A9442A}"/>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Eff_vs_IOUT!$AT$7:$AT$157</c:f>
              <c:numCache>
                <c:formatCode>General</c:formatCode>
                <c:ptCount val="151"/>
                <c:pt idx="0">
                  <c:v>0</c:v>
                </c:pt>
                <c:pt idx="1">
                  <c:v>89.495978531737194</c:v>
                </c:pt>
                <c:pt idx="2">
                  <c:v>92.607287857653162</c:v>
                </c:pt>
                <c:pt idx="3">
                  <c:v>93.686337840994568</c:v>
                </c:pt>
                <c:pt idx="4">
                  <c:v>94.231243242246009</c:v>
                </c:pt>
                <c:pt idx="5">
                  <c:v>94.558385310393874</c:v>
                </c:pt>
                <c:pt idx="6">
                  <c:v>94.775610672141084</c:v>
                </c:pt>
                <c:pt idx="7">
                  <c:v>94.929709639918315</c:v>
                </c:pt>
                <c:pt idx="8">
                  <c:v>95.044254342056192</c:v>
                </c:pt>
                <c:pt idx="9">
                  <c:v>95.132404405589739</c:v>
                </c:pt>
                <c:pt idx="10">
                  <c:v>95.202080914709725</c:v>
                </c:pt>
                <c:pt idx="11">
                  <c:v>95.258334959527048</c:v>
                </c:pt>
                <c:pt idx="12">
                  <c:v>95.30453811536519</c:v>
                </c:pt>
                <c:pt idx="13">
                  <c:v>95.343026006409275</c:v>
                </c:pt>
                <c:pt idx="14">
                  <c:v>95.375467172841581</c:v>
                </c:pt>
                <c:pt idx="15">
                  <c:v>95.403084910841571</c:v>
                </c:pt>
                <c:pt idx="16">
                  <c:v>95.426796174658264</c:v>
                </c:pt>
                <c:pt idx="17">
                  <c:v>95.447301580114839</c:v>
                </c:pt>
                <c:pt idx="18">
                  <c:v>95.42768921910195</c:v>
                </c:pt>
                <c:pt idx="19">
                  <c:v>95.44090708118415</c:v>
                </c:pt>
                <c:pt idx="20">
                  <c:v>95.451909210088132</c:v>
                </c:pt>
                <c:pt idx="21">
                  <c:v>95.461011180496897</c:v>
                </c:pt>
                <c:pt idx="22">
                  <c:v>95.468471397646013</c:v>
                </c:pt>
                <c:pt idx="23">
                  <c:v>95.474503482392862</c:v>
                </c:pt>
                <c:pt idx="24">
                  <c:v>95.479285570303531</c:v>
                </c:pt>
                <c:pt idx="25">
                  <c:v>95.482967386076567</c:v>
                </c:pt>
                <c:pt idx="26">
                  <c:v>95.485675690414539</c:v>
                </c:pt>
                <c:pt idx="27">
                  <c:v>95.48751852005482</c:v>
                </c:pt>
                <c:pt idx="28">
                  <c:v>95.488588521810669</c:v>
                </c:pt>
                <c:pt idx="29">
                  <c:v>95.488965598707793</c:v>
                </c:pt>
                <c:pt idx="30">
                  <c:v>95.488719028301134</c:v>
                </c:pt>
                <c:pt idx="31">
                  <c:v>95.487909172049896</c:v>
                </c:pt>
                <c:pt idx="32">
                  <c:v>95.486588864983958</c:v>
                </c:pt>
                <c:pt idx="33">
                  <c:v>95.48480455331449</c:v>
                </c:pt>
                <c:pt idx="34">
                  <c:v>95.482597231761204</c:v>
                </c:pt>
                <c:pt idx="35">
                  <c:v>95.480003220560903</c:v>
                </c:pt>
                <c:pt idx="36">
                  <c:v>95.477054813262143</c:v>
                </c:pt>
                <c:pt idx="37">
                  <c:v>95.473780819698405</c:v>
                </c:pt>
                <c:pt idx="38">
                  <c:v>95.470207023408832</c:v>
                </c:pt>
                <c:pt idx="39">
                  <c:v>95.466356568830662</c:v>
                </c:pt>
                <c:pt idx="40">
                  <c:v>95.462250290528601</c:v>
                </c:pt>
                <c:pt idx="41">
                  <c:v>95.457906994338103</c:v>
                </c:pt>
                <c:pt idx="42">
                  <c:v>95.453343698421762</c:v>
                </c:pt>
                <c:pt idx="43">
                  <c:v>95.448575840752298</c:v>
                </c:pt>
                <c:pt idx="44">
                  <c:v>95.443617458353714</c:v>
                </c:pt>
                <c:pt idx="45">
                  <c:v>95.438481342686117</c:v>
                </c:pt>
                <c:pt idx="46">
                  <c:v>95.43317917479817</c:v>
                </c:pt>
                <c:pt idx="47">
                  <c:v>95.427721643255211</c:v>
                </c:pt>
                <c:pt idx="48">
                  <c:v>95.422118547351019</c:v>
                </c:pt>
                <c:pt idx="49">
                  <c:v>95.416378887701882</c:v>
                </c:pt>
                <c:pt idx="50">
                  <c:v>95.410510945986843</c:v>
                </c:pt>
                <c:pt idx="51">
                  <c:v>95.404522355321376</c:v>
                </c:pt>
                <c:pt idx="52">
                  <c:v>95.39842016252355</c:v>
                </c:pt>
                <c:pt idx="53">
                  <c:v>95.392210883341662</c:v>
                </c:pt>
                <c:pt idx="54">
                  <c:v>95.385900551554755</c:v>
                </c:pt>
                <c:pt idx="55">
                  <c:v>95.379494762724406</c:v>
                </c:pt>
                <c:pt idx="56">
                  <c:v>95.37299871326536</c:v>
                </c:pt>
                <c:pt idx="57">
                  <c:v>95.366417235409514</c:v>
                </c:pt>
                <c:pt idx="58">
                  <c:v>95.359754828557669</c:v>
                </c:pt>
                <c:pt idx="59">
                  <c:v>95.353015687447439</c:v>
                </c:pt>
                <c:pt idx="60">
                  <c:v>95.346203727508026</c:v>
                </c:pt>
                <c:pt idx="61">
                  <c:v>95.339322607724412</c:v>
                </c:pt>
                <c:pt idx="62">
                  <c:v>95.332375751291693</c:v>
                </c:pt>
                <c:pt idx="63">
                  <c:v>95.32536636430487</c:v>
                </c:pt>
                <c:pt idx="64">
                  <c:v>95.318297452698602</c:v>
                </c:pt>
                <c:pt idx="65">
                  <c:v>95.311171837625295</c:v>
                </c:pt>
                <c:pt idx="66">
                  <c:v>95.303992169436768</c:v>
                </c:pt>
                <c:pt idx="67">
                  <c:v>95.296760940415425</c:v>
                </c:pt>
                <c:pt idx="68">
                  <c:v>95.289480496383334</c:v>
                </c:pt>
                <c:pt idx="69">
                  <c:v>95.282153047303055</c:v>
                </c:pt>
                <c:pt idx="70">
                  <c:v>95.274780676970778</c:v>
                </c:pt>
                <c:pt idx="71">
                  <c:v>95.267365351891357</c:v>
                </c:pt>
                <c:pt idx="72">
                  <c:v>95.259908929414422</c:v>
                </c:pt>
                <c:pt idx="73">
                  <c:v>95.252413165202682</c:v>
                </c:pt>
                <c:pt idx="74">
                  <c:v>95.244879720095255</c:v>
                </c:pt>
                <c:pt idx="75">
                  <c:v>95.237310166422418</c:v>
                </c:pt>
                <c:pt idx="76">
                  <c:v>95.229705993822549</c:v>
                </c:pt>
                <c:pt idx="77">
                  <c:v>95.222068614606115</c:v>
                </c:pt>
                <c:pt idx="78">
                  <c:v>95.214399368707603</c:v>
                </c:pt>
                <c:pt idx="79">
                  <c:v>95.206699528261552</c:v>
                </c:pt>
                <c:pt idx="80">
                  <c:v>95.198970301835843</c:v>
                </c:pt>
                <c:pt idx="81">
                  <c:v>95.191212838351774</c:v>
                </c:pt>
                <c:pt idx="82">
                  <c:v>95.183428230717496</c:v>
                </c:pt>
                <c:pt idx="83">
                  <c:v>95.17561751919898</c:v>
                </c:pt>
                <c:pt idx="84">
                  <c:v>95.167781694550641</c:v>
                </c:pt>
                <c:pt idx="85">
                  <c:v>95.159921700924926</c:v>
                </c:pt>
                <c:pt idx="86">
                  <c:v>95.152038438579297</c:v>
                </c:pt>
                <c:pt idx="87">
                  <c:v>95.144132766396595</c:v>
                </c:pt>
                <c:pt idx="88">
                  <c:v>95.1362055042338</c:v>
                </c:pt>
                <c:pt idx="89">
                  <c:v>95.128257435112459</c:v>
                </c:pt>
                <c:pt idx="90">
                  <c:v>95.120289307263334</c:v>
                </c:pt>
                <c:pt idx="91">
                  <c:v>95.112301836036352</c:v>
                </c:pt>
                <c:pt idx="92">
                  <c:v>95.104295705685928</c:v>
                </c:pt>
                <c:pt idx="93">
                  <c:v>95.096271571041513</c:v>
                </c:pt>
                <c:pt idx="94">
                  <c:v>95.088230059071307</c:v>
                </c:pt>
                <c:pt idx="95">
                  <c:v>95.080171770347462</c:v>
                </c:pt>
                <c:pt idx="96">
                  <c:v>95.072097280419783</c:v>
                </c:pt>
                <c:pt idx="97">
                  <c:v>95.064007141104383</c:v>
                </c:pt>
                <c:pt idx="98">
                  <c:v>95.055901881693671</c:v>
                </c:pt>
                <c:pt idx="99">
                  <c:v>95.04778201009303</c:v>
                </c:pt>
                <c:pt idx="100">
                  <c:v>95.039648013889234</c:v>
                </c:pt>
                <c:pt idx="101">
                  <c:v>95.031500361355654</c:v>
                </c:pt>
                <c:pt idx="102">
                  <c:v>95.023339502398159</c:v>
                </c:pt>
                <c:pt idx="103">
                  <c:v>95.015165869446051</c:v>
                </c:pt>
                <c:pt idx="104">
                  <c:v>95.006979878291759</c:v>
                </c:pt>
                <c:pt idx="105">
                  <c:v>94.99878192888238</c:v>
                </c:pt>
                <c:pt idx="106">
                  <c:v>94.990572406066562</c:v>
                </c:pt>
                <c:pt idx="107">
                  <c:v>94.98235168029953</c:v>
                </c:pt>
                <c:pt idx="108">
                  <c:v>94.974120108308995</c:v>
                </c:pt>
                <c:pt idx="109">
                  <c:v>94.965878033724309</c:v>
                </c:pt>
                <c:pt idx="110">
                  <c:v>94.957625787671518</c:v>
                </c:pt>
                <c:pt idx="111">
                  <c:v>94.949363689336138</c:v>
                </c:pt>
                <c:pt idx="112">
                  <c:v>94.941092046495868</c:v>
                </c:pt>
                <c:pt idx="113">
                  <c:v>94.932811156024925</c:v>
                </c:pt>
                <c:pt idx="114">
                  <c:v>94.92452130437205</c:v>
                </c:pt>
                <c:pt idx="115">
                  <c:v>94.916222768013427</c:v>
                </c:pt>
                <c:pt idx="116">
                  <c:v>94.907915813882198</c:v>
                </c:pt>
                <c:pt idx="117">
                  <c:v>94.899600699776158</c:v>
                </c:pt>
                <c:pt idx="118">
                  <c:v>94.89127767474443</c:v>
                </c:pt>
                <c:pt idx="119">
                  <c:v>94.882946979454928</c:v>
                </c:pt>
                <c:pt idx="120">
                  <c:v>94.874608846543268</c:v>
                </c:pt>
                <c:pt idx="121">
                  <c:v>94.866263500944541</c:v>
                </c:pt>
                <c:pt idx="122">
                  <c:v>94.857911160208644</c:v>
                </c:pt>
                <c:pt idx="123">
                  <c:v>94.849552034800382</c:v>
                </c:pt>
                <c:pt idx="124">
                  <c:v>94.841186328384907</c:v>
                </c:pt>
                <c:pt idx="125">
                  <c:v>94.832814238099559</c:v>
                </c:pt>
                <c:pt idx="126">
                  <c:v>94.824435954812742</c:v>
                </c:pt>
                <c:pt idx="127">
                  <c:v>94.816051663370615</c:v>
                </c:pt>
                <c:pt idx="128">
                  <c:v>94.807661542832193</c:v>
                </c:pt>
                <c:pt idx="129">
                  <c:v>94.799265766693438</c:v>
                </c:pt>
                <c:pt idx="130">
                  <c:v>94.790864503101261</c:v>
                </c:pt>
                <c:pt idx="131">
                  <c:v>94.782457915057378</c:v>
                </c:pt>
                <c:pt idx="132">
                  <c:v>94.774046160613238</c:v>
                </c:pt>
                <c:pt idx="133">
                  <c:v>94.765629393055946</c:v>
                </c:pt>
                <c:pt idx="134">
                  <c:v>94.757207761085937</c:v>
                </c:pt>
                <c:pt idx="135">
                  <c:v>94.748781408986844</c:v>
                </c:pt>
                <c:pt idx="136">
                  <c:v>94.740350476787654</c:v>
                </c:pt>
                <c:pt idx="137">
                  <c:v>94.731915100417979</c:v>
                </c:pt>
                <c:pt idx="138">
                  <c:v>94.723475411856512</c:v>
                </c:pt>
                <c:pt idx="139">
                  <c:v>94.715031539273099</c:v>
                </c:pt>
                <c:pt idx="140">
                  <c:v>94.706583607164589</c:v>
                </c:pt>
                <c:pt idx="141">
                  <c:v>94.698131736485081</c:v>
                </c:pt>
                <c:pt idx="142">
                  <c:v>94.689676044770678</c:v>
                </c:pt>
                <c:pt idx="143">
                  <c:v>94.681216646258775</c:v>
                </c:pt>
                <c:pt idx="144">
                  <c:v>94.672753652002683</c:v>
                </c:pt>
                <c:pt idx="145">
                  <c:v>94.664287169981293</c:v>
                </c:pt>
                <c:pt idx="146">
                  <c:v>94.655817305204351</c:v>
                </c:pt>
                <c:pt idx="147">
                  <c:v>94.647344159813329</c:v>
                </c:pt>
                <c:pt idx="148">
                  <c:v>94.638867833178423</c:v>
                </c:pt>
                <c:pt idx="149">
                  <c:v>94.630388421991327</c:v>
                </c:pt>
                <c:pt idx="150">
                  <c:v>94.621906020354629</c:v>
                </c:pt>
              </c:numCache>
            </c:numRef>
          </c:yVal>
          <c:smooth val="0"/>
          <c:extLst>
            <c:ext xmlns:c16="http://schemas.microsoft.com/office/drawing/2014/chart" uri="{C3380CC4-5D6E-409C-BE32-E72D297353CC}">
              <c16:uniqueId val="{00000000-0369-40DB-801C-ED0FF8C612AA}"/>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Eff_vs_IOUT!$AI$7:$AI$157</c:f>
              <c:numCache>
                <c:formatCode>General</c:formatCode>
                <c:ptCount val="151"/>
                <c:pt idx="0">
                  <c:v>0</c:v>
                </c:pt>
                <c:pt idx="1">
                  <c:v>0.16528514416825191</c:v>
                </c:pt>
                <c:pt idx="2">
                  <c:v>0.33211296635211568</c:v>
                </c:pt>
                <c:pt idx="3">
                  <c:v>0.49994505724088467</c:v>
                </c:pt>
                <c:pt idx="4">
                  <c:v>0.66858928504833759</c:v>
                </c:pt>
                <c:pt idx="5">
                  <c:v>0.83793460821185906</c:v>
                </c:pt>
                <c:pt idx="6">
                  <c:v>1.0079061045900473</c:v>
                </c:pt>
                <c:pt idx="7">
                  <c:v>1.1784487719330279</c:v>
                </c:pt>
                <c:pt idx="8">
                  <c:v>1.3495199942215703</c:v>
                </c:pt>
                <c:pt idx="9">
                  <c:v>1.5210854852032516</c:v>
                </c:pt>
                <c:pt idx="10">
                  <c:v>1.6931168809752313</c:v>
                </c:pt>
                <c:pt idx="11">
                  <c:v>1.8655902076664181</c:v>
                </c:pt>
                <c:pt idx="12">
                  <c:v>2.0384848530340447</c:v>
                </c:pt>
                <c:pt idx="13">
                  <c:v>2.2117828469129508</c:v>
                </c:pt>
                <c:pt idx="14">
                  <c:v>2.3854683405425452</c:v>
                </c:pt>
                <c:pt idx="15">
                  <c:v>2.5595272191978236</c:v>
                </c:pt>
                <c:pt idx="16">
                  <c:v>2.7339468071959905</c:v>
                </c:pt>
                <c:pt idx="17">
                  <c:v>2.9087156387402402</c:v>
                </c:pt>
                <c:pt idx="18">
                  <c:v>3.1095131085652823</c:v>
                </c:pt>
                <c:pt idx="19">
                  <c:v>3.2883134180877511</c:v>
                </c:pt>
                <c:pt idx="20">
                  <c:v>3.4679449353101144</c:v>
                </c:pt>
                <c:pt idx="21">
                  <c:v>3.6484076602323734</c:v>
                </c:pt>
                <c:pt idx="22">
                  <c:v>3.8297015928545255</c:v>
                </c:pt>
                <c:pt idx="23">
                  <c:v>4.011826733176572</c:v>
                </c:pt>
                <c:pt idx="24">
                  <c:v>4.1947830811985147</c:v>
                </c:pt>
                <c:pt idx="25">
                  <c:v>4.3785706369203519</c:v>
                </c:pt>
                <c:pt idx="26">
                  <c:v>4.5631894003420816</c:v>
                </c:pt>
                <c:pt idx="27">
                  <c:v>4.7486393714637067</c:v>
                </c:pt>
                <c:pt idx="28">
                  <c:v>4.9349205502852262</c:v>
                </c:pt>
                <c:pt idx="29">
                  <c:v>5.122032936806642</c:v>
                </c:pt>
                <c:pt idx="30">
                  <c:v>5.3099765310279512</c:v>
                </c:pt>
                <c:pt idx="31">
                  <c:v>5.498751332949154</c:v>
                </c:pt>
                <c:pt idx="32">
                  <c:v>5.6883573425702547</c:v>
                </c:pt>
                <c:pt idx="33">
                  <c:v>5.8787945598912472</c:v>
                </c:pt>
                <c:pt idx="34">
                  <c:v>6.0700629849121324</c:v>
                </c:pt>
                <c:pt idx="35">
                  <c:v>6.2621626176329146</c:v>
                </c:pt>
                <c:pt idx="36">
                  <c:v>6.4550934580535912</c:v>
                </c:pt>
                <c:pt idx="37">
                  <c:v>6.6488555061741641</c:v>
                </c:pt>
                <c:pt idx="38">
                  <c:v>6.8434487619946278</c:v>
                </c:pt>
                <c:pt idx="39">
                  <c:v>7.0388732255149895</c:v>
                </c:pt>
                <c:pt idx="40">
                  <c:v>7.2351288967352421</c:v>
                </c:pt>
                <c:pt idx="41">
                  <c:v>7.4322157756553935</c:v>
                </c:pt>
                <c:pt idx="42">
                  <c:v>7.6301338622754376</c:v>
                </c:pt>
                <c:pt idx="43">
                  <c:v>7.8288831565953769</c:v>
                </c:pt>
                <c:pt idx="44">
                  <c:v>8.0284636586152089</c:v>
                </c:pt>
                <c:pt idx="45">
                  <c:v>8.2288753683349363</c:v>
                </c:pt>
                <c:pt idx="46">
                  <c:v>8.4301182857545562</c:v>
                </c:pt>
                <c:pt idx="47">
                  <c:v>8.632192410874076</c:v>
                </c:pt>
                <c:pt idx="48">
                  <c:v>8.8350977436934883</c:v>
                </c:pt>
                <c:pt idx="49">
                  <c:v>9.0388342842127933</c:v>
                </c:pt>
                <c:pt idx="50">
                  <c:v>9.2434020324319963</c:v>
                </c:pt>
                <c:pt idx="51">
                  <c:v>9.4488009883510884</c:v>
                </c:pt>
                <c:pt idx="52">
                  <c:v>9.6550311519700784</c:v>
                </c:pt>
                <c:pt idx="53">
                  <c:v>9.8620925232889629</c:v>
                </c:pt>
                <c:pt idx="54">
                  <c:v>10.06998510230774</c:v>
                </c:pt>
                <c:pt idx="55">
                  <c:v>10.278708889026413</c:v>
                </c:pt>
                <c:pt idx="56">
                  <c:v>10.488263883444981</c:v>
                </c:pt>
                <c:pt idx="57">
                  <c:v>10.698650085563445</c:v>
                </c:pt>
                <c:pt idx="58">
                  <c:v>10.909867495381803</c:v>
                </c:pt>
                <c:pt idx="59">
                  <c:v>11.121916112900056</c:v>
                </c:pt>
                <c:pt idx="60">
                  <c:v>11.3347959381182</c:v>
                </c:pt>
                <c:pt idx="61">
                  <c:v>11.54850697103624</c:v>
                </c:pt>
                <c:pt idx="62">
                  <c:v>11.763049211654174</c:v>
                </c:pt>
                <c:pt idx="63">
                  <c:v>11.978422659972006</c:v>
                </c:pt>
                <c:pt idx="64">
                  <c:v>12.194627315989733</c:v>
                </c:pt>
                <c:pt idx="65">
                  <c:v>12.41166317970735</c:v>
                </c:pt>
                <c:pt idx="66">
                  <c:v>12.629530251124866</c:v>
                </c:pt>
                <c:pt idx="67">
                  <c:v>12.848228530242272</c:v>
                </c:pt>
                <c:pt idx="68">
                  <c:v>13.067758017059573</c:v>
                </c:pt>
                <c:pt idx="69">
                  <c:v>13.28811871157677</c:v>
                </c:pt>
                <c:pt idx="70">
                  <c:v>13.509310613793863</c:v>
                </c:pt>
                <c:pt idx="71">
                  <c:v>13.731333723710849</c:v>
                </c:pt>
                <c:pt idx="72">
                  <c:v>13.954188041327729</c:v>
                </c:pt>
                <c:pt idx="73">
                  <c:v>14.177873566644505</c:v>
                </c:pt>
                <c:pt idx="74">
                  <c:v>14.40239029966118</c:v>
                </c:pt>
                <c:pt idx="75">
                  <c:v>14.627738240377742</c:v>
                </c:pt>
                <c:pt idx="76">
                  <c:v>14.8539173887942</c:v>
                </c:pt>
                <c:pt idx="77">
                  <c:v>15.080927744910554</c:v>
                </c:pt>
                <c:pt idx="78">
                  <c:v>15.308769308726804</c:v>
                </c:pt>
                <c:pt idx="79">
                  <c:v>15.537442080242943</c:v>
                </c:pt>
                <c:pt idx="80">
                  <c:v>15.766946059458981</c:v>
                </c:pt>
                <c:pt idx="81">
                  <c:v>15.997281246374918</c:v>
                </c:pt>
                <c:pt idx="82">
                  <c:v>16.228447640990744</c:v>
                </c:pt>
                <c:pt idx="83">
                  <c:v>16.460445243306467</c:v>
                </c:pt>
                <c:pt idx="84">
                  <c:v>16.693274053322082</c:v>
                </c:pt>
                <c:pt idx="85">
                  <c:v>16.926934071037593</c:v>
                </c:pt>
                <c:pt idx="86">
                  <c:v>17.161425296452997</c:v>
                </c:pt>
                <c:pt idx="87">
                  <c:v>17.396747729568293</c:v>
                </c:pt>
                <c:pt idx="88">
                  <c:v>17.632901370383486</c:v>
                </c:pt>
                <c:pt idx="89">
                  <c:v>17.869886218898579</c:v>
                </c:pt>
                <c:pt idx="90">
                  <c:v>18.10770227511356</c:v>
                </c:pt>
                <c:pt idx="91">
                  <c:v>18.346349539028434</c:v>
                </c:pt>
                <c:pt idx="92">
                  <c:v>18.585828010643208</c:v>
                </c:pt>
                <c:pt idx="93">
                  <c:v>18.826137689957879</c:v>
                </c:pt>
                <c:pt idx="94">
                  <c:v>19.067278576972438</c:v>
                </c:pt>
                <c:pt idx="95">
                  <c:v>19.309250671686893</c:v>
                </c:pt>
                <c:pt idx="96">
                  <c:v>19.552053974101248</c:v>
                </c:pt>
                <c:pt idx="97">
                  <c:v>19.795688484215486</c:v>
                </c:pt>
                <c:pt idx="98">
                  <c:v>20.040154202029633</c:v>
                </c:pt>
                <c:pt idx="99">
                  <c:v>20.285451127543663</c:v>
                </c:pt>
                <c:pt idx="100">
                  <c:v>20.531579260757599</c:v>
                </c:pt>
                <c:pt idx="101">
                  <c:v>20.778538601671418</c:v>
                </c:pt>
                <c:pt idx="102">
                  <c:v>21.026329150285136</c:v>
                </c:pt>
                <c:pt idx="103">
                  <c:v>21.274950906598747</c:v>
                </c:pt>
                <c:pt idx="104">
                  <c:v>21.524403870612257</c:v>
                </c:pt>
                <c:pt idx="105">
                  <c:v>21.774688042325653</c:v>
                </c:pt>
                <c:pt idx="106">
                  <c:v>22.025803421738956</c:v>
                </c:pt>
                <c:pt idx="107">
                  <c:v>22.277750008852141</c:v>
                </c:pt>
                <c:pt idx="108">
                  <c:v>22.53052780366523</c:v>
                </c:pt>
                <c:pt idx="109">
                  <c:v>22.784136806178211</c:v>
                </c:pt>
                <c:pt idx="110">
                  <c:v>23.038577016391081</c:v>
                </c:pt>
                <c:pt idx="111">
                  <c:v>23.293848434303854</c:v>
                </c:pt>
                <c:pt idx="112">
                  <c:v>23.549951059916516</c:v>
                </c:pt>
                <c:pt idx="113">
                  <c:v>23.806884893229082</c:v>
                </c:pt>
                <c:pt idx="114">
                  <c:v>24.06464993424153</c:v>
                </c:pt>
                <c:pt idx="115">
                  <c:v>24.323246182953877</c:v>
                </c:pt>
                <c:pt idx="116">
                  <c:v>24.582673639366121</c:v>
                </c:pt>
                <c:pt idx="117">
                  <c:v>24.842932303478253</c:v>
                </c:pt>
                <c:pt idx="118">
                  <c:v>25.104022175290286</c:v>
                </c:pt>
                <c:pt idx="119">
                  <c:v>25.365943254802215</c:v>
                </c:pt>
                <c:pt idx="120">
                  <c:v>25.628695542014032</c:v>
                </c:pt>
                <c:pt idx="121">
                  <c:v>25.89227903692575</c:v>
                </c:pt>
                <c:pt idx="122">
                  <c:v>26.156693739537353</c:v>
                </c:pt>
                <c:pt idx="123">
                  <c:v>26.421939649848856</c:v>
                </c:pt>
                <c:pt idx="124">
                  <c:v>26.688016767860255</c:v>
                </c:pt>
                <c:pt idx="125">
                  <c:v>26.954925093571557</c:v>
                </c:pt>
                <c:pt idx="126">
                  <c:v>27.222664626982745</c:v>
                </c:pt>
                <c:pt idx="127">
                  <c:v>27.491235368093818</c:v>
                </c:pt>
                <c:pt idx="128">
                  <c:v>27.760637316904806</c:v>
                </c:pt>
                <c:pt idx="129">
                  <c:v>28.030870473415668</c:v>
                </c:pt>
                <c:pt idx="130">
                  <c:v>28.301934837626437</c:v>
                </c:pt>
                <c:pt idx="131">
                  <c:v>28.573830409537099</c:v>
                </c:pt>
                <c:pt idx="132">
                  <c:v>28.84655718914766</c:v>
                </c:pt>
                <c:pt idx="133">
                  <c:v>29.120115176458107</c:v>
                </c:pt>
                <c:pt idx="134">
                  <c:v>29.39450437146845</c:v>
                </c:pt>
                <c:pt idx="135">
                  <c:v>29.669724774178686</c:v>
                </c:pt>
                <c:pt idx="136">
                  <c:v>29.945776384588818</c:v>
                </c:pt>
                <c:pt idx="137">
                  <c:v>30.222659202698846</c:v>
                </c:pt>
                <c:pt idx="138">
                  <c:v>30.500373228508767</c:v>
                </c:pt>
                <c:pt idx="139">
                  <c:v>30.778918462018581</c:v>
                </c:pt>
                <c:pt idx="140">
                  <c:v>31.058294903228298</c:v>
                </c:pt>
                <c:pt idx="141">
                  <c:v>31.338502552137903</c:v>
                </c:pt>
                <c:pt idx="142">
                  <c:v>31.619541408747402</c:v>
                </c:pt>
                <c:pt idx="143">
                  <c:v>31.901411473056804</c:v>
                </c:pt>
                <c:pt idx="144">
                  <c:v>32.184112745066088</c:v>
                </c:pt>
                <c:pt idx="145">
                  <c:v>32.467645224775275</c:v>
                </c:pt>
                <c:pt idx="146">
                  <c:v>32.752008912184351</c:v>
                </c:pt>
                <c:pt idx="147">
                  <c:v>33.037203807293338</c:v>
                </c:pt>
                <c:pt idx="148">
                  <c:v>33.323229910102206</c:v>
                </c:pt>
                <c:pt idx="149">
                  <c:v>33.61008722061095</c:v>
                </c:pt>
                <c:pt idx="150">
                  <c:v>33.897775738819618</c:v>
                </c:pt>
              </c:numCache>
            </c:numRef>
          </c:yVal>
          <c:smooth val="1"/>
          <c:extLst>
            <c:ext xmlns:c16="http://schemas.microsoft.com/office/drawing/2014/chart" uri="{C3380CC4-5D6E-409C-BE32-E72D297353CC}">
              <c16:uniqueId val="{00000001-0369-40DB-801C-ED0FF8C612A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Eff_vs_IOUT!$AN$7:$AN$157</c:f>
              <c:numCache>
                <c:formatCode>General</c:formatCode>
                <c:ptCount val="151"/>
                <c:pt idx="0">
                  <c:v>0.35594999999999999</c:v>
                </c:pt>
                <c:pt idx="1">
                  <c:v>0.46928333333333333</c:v>
                </c:pt>
                <c:pt idx="2">
                  <c:v>0.58261666666666667</c:v>
                </c:pt>
                <c:pt idx="3">
                  <c:v>0.69595000000000007</c:v>
                </c:pt>
                <c:pt idx="4">
                  <c:v>0.80928333333333335</c:v>
                </c:pt>
                <c:pt idx="5">
                  <c:v>0.92261666666666664</c:v>
                </c:pt>
                <c:pt idx="6">
                  <c:v>1.0359500000000001</c:v>
                </c:pt>
                <c:pt idx="7">
                  <c:v>1.1492833333333334</c:v>
                </c:pt>
                <c:pt idx="8">
                  <c:v>1.2626166666666667</c:v>
                </c:pt>
                <c:pt idx="9">
                  <c:v>1.37595</c:v>
                </c:pt>
                <c:pt idx="10">
                  <c:v>1.4892833333333333</c:v>
                </c:pt>
                <c:pt idx="11">
                  <c:v>1.6026166666666666</c:v>
                </c:pt>
                <c:pt idx="12">
                  <c:v>1.7159500000000001</c:v>
                </c:pt>
                <c:pt idx="13">
                  <c:v>1.8292833333333334</c:v>
                </c:pt>
                <c:pt idx="14">
                  <c:v>1.9426166666666667</c:v>
                </c:pt>
                <c:pt idx="15">
                  <c:v>2.0559500000000002</c:v>
                </c:pt>
                <c:pt idx="16">
                  <c:v>2.1692833333333335</c:v>
                </c:pt>
                <c:pt idx="17">
                  <c:v>2.2826166666666667</c:v>
                </c:pt>
                <c:pt idx="18">
                  <c:v>2.39595</c:v>
                </c:pt>
                <c:pt idx="19">
                  <c:v>2.5092833333333333</c:v>
                </c:pt>
                <c:pt idx="20">
                  <c:v>2.6226166666666666</c:v>
                </c:pt>
                <c:pt idx="21">
                  <c:v>2.7359499999999999</c:v>
                </c:pt>
                <c:pt idx="22">
                  <c:v>2.8492833333333332</c:v>
                </c:pt>
                <c:pt idx="23">
                  <c:v>2.9626166666666665</c:v>
                </c:pt>
                <c:pt idx="24">
                  <c:v>3.0759500000000002</c:v>
                </c:pt>
                <c:pt idx="25">
                  <c:v>3.1892833333333335</c:v>
                </c:pt>
                <c:pt idx="26">
                  <c:v>3.3026166666666668</c:v>
                </c:pt>
                <c:pt idx="27">
                  <c:v>3.41595</c:v>
                </c:pt>
                <c:pt idx="28">
                  <c:v>3.5292833333333333</c:v>
                </c:pt>
                <c:pt idx="29">
                  <c:v>3.6426166666666666</c:v>
                </c:pt>
                <c:pt idx="30">
                  <c:v>3.7559499999999999</c:v>
                </c:pt>
                <c:pt idx="31">
                  <c:v>3.8692833333333327</c:v>
                </c:pt>
                <c:pt idx="32">
                  <c:v>3.9826166666666665</c:v>
                </c:pt>
                <c:pt idx="33">
                  <c:v>4.0959500000000002</c:v>
                </c:pt>
                <c:pt idx="34">
                  <c:v>4.2092833333333335</c:v>
                </c:pt>
                <c:pt idx="35">
                  <c:v>4.3226166666666668</c:v>
                </c:pt>
                <c:pt idx="36">
                  <c:v>4.4359500000000001</c:v>
                </c:pt>
                <c:pt idx="37">
                  <c:v>4.5492833333333333</c:v>
                </c:pt>
                <c:pt idx="38">
                  <c:v>4.6626166666666666</c:v>
                </c:pt>
                <c:pt idx="39">
                  <c:v>4.7759499999999999</c:v>
                </c:pt>
                <c:pt idx="40">
                  <c:v>4.8892833333333332</c:v>
                </c:pt>
                <c:pt idx="41">
                  <c:v>5.0026166666666665</c:v>
                </c:pt>
                <c:pt idx="42">
                  <c:v>5.1159499999999998</c:v>
                </c:pt>
                <c:pt idx="43">
                  <c:v>5.2292833333333331</c:v>
                </c:pt>
                <c:pt idx="44">
                  <c:v>5.3426166666666663</c:v>
                </c:pt>
                <c:pt idx="45">
                  <c:v>5.4559499999999996</c:v>
                </c:pt>
                <c:pt idx="46">
                  <c:v>5.5692833333333329</c:v>
                </c:pt>
                <c:pt idx="47">
                  <c:v>5.6826166666666662</c:v>
                </c:pt>
                <c:pt idx="48">
                  <c:v>5.7959500000000004</c:v>
                </c:pt>
                <c:pt idx="49">
                  <c:v>5.9092833333333328</c:v>
                </c:pt>
                <c:pt idx="50">
                  <c:v>6.022616666666667</c:v>
                </c:pt>
                <c:pt idx="51">
                  <c:v>6.1359499999999993</c:v>
                </c:pt>
                <c:pt idx="52">
                  <c:v>6.2492833333333335</c:v>
                </c:pt>
                <c:pt idx="53">
                  <c:v>6.3626166666666659</c:v>
                </c:pt>
                <c:pt idx="54">
                  <c:v>6.4759500000000001</c:v>
                </c:pt>
                <c:pt idx="55">
                  <c:v>6.5892833333333325</c:v>
                </c:pt>
                <c:pt idx="56">
                  <c:v>6.7026166666666667</c:v>
                </c:pt>
                <c:pt idx="57">
                  <c:v>6.81595</c:v>
                </c:pt>
                <c:pt idx="58">
                  <c:v>6.9292833333333332</c:v>
                </c:pt>
                <c:pt idx="59">
                  <c:v>7.0426166666666665</c:v>
                </c:pt>
                <c:pt idx="60">
                  <c:v>7.1559499999999998</c:v>
                </c:pt>
                <c:pt idx="61">
                  <c:v>7.2692833333333331</c:v>
                </c:pt>
                <c:pt idx="62">
                  <c:v>7.3826166666666655</c:v>
                </c:pt>
                <c:pt idx="63">
                  <c:v>7.4959499999999997</c:v>
                </c:pt>
                <c:pt idx="64">
                  <c:v>7.609283333333333</c:v>
                </c:pt>
                <c:pt idx="65">
                  <c:v>7.7226166666666662</c:v>
                </c:pt>
                <c:pt idx="66">
                  <c:v>7.8359500000000004</c:v>
                </c:pt>
                <c:pt idx="67">
                  <c:v>7.9492833333333337</c:v>
                </c:pt>
                <c:pt idx="68">
                  <c:v>8.062616666666667</c:v>
                </c:pt>
                <c:pt idx="69">
                  <c:v>8.1759500000000003</c:v>
                </c:pt>
                <c:pt idx="70">
                  <c:v>8.2892833333333336</c:v>
                </c:pt>
                <c:pt idx="71">
                  <c:v>8.4026166666666668</c:v>
                </c:pt>
                <c:pt idx="72">
                  <c:v>8.5159500000000001</c:v>
                </c:pt>
                <c:pt idx="73">
                  <c:v>8.6292833333333316</c:v>
                </c:pt>
                <c:pt idx="74">
                  <c:v>8.7426166666666667</c:v>
                </c:pt>
                <c:pt idx="75">
                  <c:v>8.85595</c:v>
                </c:pt>
                <c:pt idx="76">
                  <c:v>8.9692833333333333</c:v>
                </c:pt>
                <c:pt idx="77">
                  <c:v>9.0826166666666648</c:v>
                </c:pt>
                <c:pt idx="78">
                  <c:v>9.1959499999999998</c:v>
                </c:pt>
                <c:pt idx="79">
                  <c:v>9.3092833333333331</c:v>
                </c:pt>
                <c:pt idx="80">
                  <c:v>9.4226166666666664</c:v>
                </c:pt>
                <c:pt idx="81">
                  <c:v>9.5359499999999997</c:v>
                </c:pt>
                <c:pt idx="82">
                  <c:v>9.649283333333333</c:v>
                </c:pt>
                <c:pt idx="83">
                  <c:v>9.7626166666666663</c:v>
                </c:pt>
                <c:pt idx="84">
                  <c:v>9.8759499999999996</c:v>
                </c:pt>
                <c:pt idx="85">
                  <c:v>9.9892833333333328</c:v>
                </c:pt>
                <c:pt idx="86">
                  <c:v>10.102616666666666</c:v>
                </c:pt>
                <c:pt idx="87">
                  <c:v>10.215949999999999</c:v>
                </c:pt>
                <c:pt idx="88">
                  <c:v>10.329283333333333</c:v>
                </c:pt>
                <c:pt idx="89">
                  <c:v>10.442616666666666</c:v>
                </c:pt>
                <c:pt idx="90">
                  <c:v>10.555949999999999</c:v>
                </c:pt>
                <c:pt idx="91">
                  <c:v>10.669283333333333</c:v>
                </c:pt>
                <c:pt idx="92">
                  <c:v>10.782616666666666</c:v>
                </c:pt>
                <c:pt idx="93">
                  <c:v>10.895949999999999</c:v>
                </c:pt>
                <c:pt idx="94">
                  <c:v>11.009283333333332</c:v>
                </c:pt>
                <c:pt idx="95">
                  <c:v>11.122616666666666</c:v>
                </c:pt>
                <c:pt idx="96">
                  <c:v>11.235950000000001</c:v>
                </c:pt>
                <c:pt idx="97">
                  <c:v>11.349283333333334</c:v>
                </c:pt>
                <c:pt idx="98">
                  <c:v>11.462616666666666</c:v>
                </c:pt>
                <c:pt idx="99">
                  <c:v>11.575949999999999</c:v>
                </c:pt>
                <c:pt idx="100">
                  <c:v>11.689283333333334</c:v>
                </c:pt>
                <c:pt idx="101">
                  <c:v>11.802616666666667</c:v>
                </c:pt>
                <c:pt idx="102">
                  <c:v>11.915949999999999</c:v>
                </c:pt>
                <c:pt idx="103">
                  <c:v>12.029283333333332</c:v>
                </c:pt>
                <c:pt idx="104">
                  <c:v>12.142616666666667</c:v>
                </c:pt>
                <c:pt idx="105">
                  <c:v>12.25595</c:v>
                </c:pt>
                <c:pt idx="106">
                  <c:v>12.369283333333332</c:v>
                </c:pt>
                <c:pt idx="107">
                  <c:v>12.482616666666665</c:v>
                </c:pt>
                <c:pt idx="108">
                  <c:v>12.59595</c:v>
                </c:pt>
                <c:pt idx="109">
                  <c:v>12.709283333333333</c:v>
                </c:pt>
                <c:pt idx="110">
                  <c:v>12.822616666666665</c:v>
                </c:pt>
                <c:pt idx="111">
                  <c:v>12.935949999999998</c:v>
                </c:pt>
                <c:pt idx="112">
                  <c:v>13.049283333333333</c:v>
                </c:pt>
                <c:pt idx="113">
                  <c:v>13.162616666666667</c:v>
                </c:pt>
                <c:pt idx="114">
                  <c:v>13.27595</c:v>
                </c:pt>
                <c:pt idx="115">
                  <c:v>13.389283333333333</c:v>
                </c:pt>
                <c:pt idx="116">
                  <c:v>13.502616666666666</c:v>
                </c:pt>
                <c:pt idx="117">
                  <c:v>13.61595</c:v>
                </c:pt>
                <c:pt idx="118">
                  <c:v>13.729283333333333</c:v>
                </c:pt>
                <c:pt idx="119">
                  <c:v>13.842616666666666</c:v>
                </c:pt>
                <c:pt idx="120">
                  <c:v>13.95595</c:v>
                </c:pt>
                <c:pt idx="121">
                  <c:v>14.069283333333333</c:v>
                </c:pt>
                <c:pt idx="122">
                  <c:v>14.182616666666666</c:v>
                </c:pt>
                <c:pt idx="123">
                  <c:v>14.295949999999998</c:v>
                </c:pt>
                <c:pt idx="124">
                  <c:v>14.409283333333331</c:v>
                </c:pt>
                <c:pt idx="125">
                  <c:v>14.522616666666668</c:v>
                </c:pt>
                <c:pt idx="126">
                  <c:v>14.635949999999999</c:v>
                </c:pt>
                <c:pt idx="127">
                  <c:v>14.749283333333333</c:v>
                </c:pt>
                <c:pt idx="128">
                  <c:v>14.862616666666666</c:v>
                </c:pt>
                <c:pt idx="129">
                  <c:v>14.975949999999999</c:v>
                </c:pt>
                <c:pt idx="130">
                  <c:v>15.089283333333332</c:v>
                </c:pt>
                <c:pt idx="131">
                  <c:v>15.202616666666664</c:v>
                </c:pt>
                <c:pt idx="132">
                  <c:v>15.315950000000001</c:v>
                </c:pt>
                <c:pt idx="133">
                  <c:v>15.429283333333334</c:v>
                </c:pt>
                <c:pt idx="134">
                  <c:v>15.542616666666667</c:v>
                </c:pt>
                <c:pt idx="135">
                  <c:v>15.655949999999999</c:v>
                </c:pt>
                <c:pt idx="136">
                  <c:v>15.769283333333332</c:v>
                </c:pt>
                <c:pt idx="137">
                  <c:v>15.882616666666665</c:v>
                </c:pt>
                <c:pt idx="138">
                  <c:v>15.995949999999999</c:v>
                </c:pt>
                <c:pt idx="139">
                  <c:v>16.10928333333333</c:v>
                </c:pt>
                <c:pt idx="140">
                  <c:v>16.222616666666667</c:v>
                </c:pt>
                <c:pt idx="141">
                  <c:v>16.33595</c:v>
                </c:pt>
                <c:pt idx="142">
                  <c:v>16.449283333333334</c:v>
                </c:pt>
                <c:pt idx="143">
                  <c:v>16.562616666666667</c:v>
                </c:pt>
                <c:pt idx="144">
                  <c:v>16.67595</c:v>
                </c:pt>
                <c:pt idx="145">
                  <c:v>16.789283333333334</c:v>
                </c:pt>
                <c:pt idx="146">
                  <c:v>16.902616666666663</c:v>
                </c:pt>
                <c:pt idx="147">
                  <c:v>17.01595</c:v>
                </c:pt>
                <c:pt idx="148">
                  <c:v>17.129283333333333</c:v>
                </c:pt>
                <c:pt idx="149">
                  <c:v>17.242616666666667</c:v>
                </c:pt>
                <c:pt idx="150">
                  <c:v>17.35595</c:v>
                </c:pt>
              </c:numCache>
            </c:numRef>
          </c:yVal>
          <c:smooth val="1"/>
          <c:extLst>
            <c:ext xmlns:c16="http://schemas.microsoft.com/office/drawing/2014/chart" uri="{C3380CC4-5D6E-409C-BE32-E72D297353CC}">
              <c16:uniqueId val="{00000002-0369-40DB-801C-ED0FF8C612A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6.6666666666666666E-2</c:v>
                </c:pt>
                <c:pt idx="2">
                  <c:v>0.13333333333333333</c:v>
                </c:pt>
                <c:pt idx="3">
                  <c:v>0.2</c:v>
                </c:pt>
                <c:pt idx="4">
                  <c:v>0.26666666666666666</c:v>
                </c:pt>
                <c:pt idx="5">
                  <c:v>0.33333333333333331</c:v>
                </c:pt>
                <c:pt idx="6">
                  <c:v>0.4</c:v>
                </c:pt>
                <c:pt idx="7">
                  <c:v>0.46666666666666667</c:v>
                </c:pt>
                <c:pt idx="8">
                  <c:v>0.53333333333333333</c:v>
                </c:pt>
                <c:pt idx="9">
                  <c:v>0.6</c:v>
                </c:pt>
                <c:pt idx="10">
                  <c:v>0.66666666666666663</c:v>
                </c:pt>
                <c:pt idx="11">
                  <c:v>0.73333333333333328</c:v>
                </c:pt>
                <c:pt idx="12">
                  <c:v>0.8</c:v>
                </c:pt>
                <c:pt idx="13">
                  <c:v>0.8666666666666667</c:v>
                </c:pt>
                <c:pt idx="14">
                  <c:v>0.93333333333333335</c:v>
                </c:pt>
                <c:pt idx="15">
                  <c:v>1</c:v>
                </c:pt>
                <c:pt idx="16">
                  <c:v>1.0666666666666667</c:v>
                </c:pt>
                <c:pt idx="17">
                  <c:v>1.1333333333333333</c:v>
                </c:pt>
                <c:pt idx="18">
                  <c:v>1.2</c:v>
                </c:pt>
                <c:pt idx="19">
                  <c:v>1.2666666666666666</c:v>
                </c:pt>
                <c:pt idx="20">
                  <c:v>1.3333333333333333</c:v>
                </c:pt>
                <c:pt idx="21">
                  <c:v>1.4</c:v>
                </c:pt>
                <c:pt idx="22">
                  <c:v>1.4666666666666666</c:v>
                </c:pt>
                <c:pt idx="23">
                  <c:v>1.5333333333333332</c:v>
                </c:pt>
                <c:pt idx="24">
                  <c:v>1.6</c:v>
                </c:pt>
                <c:pt idx="25">
                  <c:v>1.6666666666666667</c:v>
                </c:pt>
                <c:pt idx="26">
                  <c:v>1.7333333333333334</c:v>
                </c:pt>
                <c:pt idx="27">
                  <c:v>1.8</c:v>
                </c:pt>
                <c:pt idx="28">
                  <c:v>1.8666666666666667</c:v>
                </c:pt>
                <c:pt idx="29">
                  <c:v>1.9333333333333333</c:v>
                </c:pt>
                <c:pt idx="30">
                  <c:v>2</c:v>
                </c:pt>
                <c:pt idx="31">
                  <c:v>2.0666666666666664</c:v>
                </c:pt>
                <c:pt idx="32">
                  <c:v>2.1333333333333333</c:v>
                </c:pt>
                <c:pt idx="33">
                  <c:v>2.2000000000000002</c:v>
                </c:pt>
                <c:pt idx="34">
                  <c:v>2.2666666666666666</c:v>
                </c:pt>
                <c:pt idx="35">
                  <c:v>2.3333333333333335</c:v>
                </c:pt>
                <c:pt idx="36">
                  <c:v>2.4</c:v>
                </c:pt>
                <c:pt idx="37">
                  <c:v>2.4666666666666668</c:v>
                </c:pt>
                <c:pt idx="38">
                  <c:v>2.5333333333333332</c:v>
                </c:pt>
                <c:pt idx="39">
                  <c:v>2.6</c:v>
                </c:pt>
                <c:pt idx="40">
                  <c:v>2.6666666666666665</c:v>
                </c:pt>
                <c:pt idx="41">
                  <c:v>2.7333333333333334</c:v>
                </c:pt>
                <c:pt idx="42">
                  <c:v>2.8</c:v>
                </c:pt>
                <c:pt idx="43">
                  <c:v>2.8666666666666667</c:v>
                </c:pt>
                <c:pt idx="44">
                  <c:v>2.9333333333333331</c:v>
                </c:pt>
                <c:pt idx="45">
                  <c:v>3</c:v>
                </c:pt>
                <c:pt idx="46">
                  <c:v>3.0666666666666664</c:v>
                </c:pt>
                <c:pt idx="47">
                  <c:v>3.1333333333333333</c:v>
                </c:pt>
                <c:pt idx="48">
                  <c:v>3.2</c:v>
                </c:pt>
                <c:pt idx="49">
                  <c:v>3.2666666666666666</c:v>
                </c:pt>
                <c:pt idx="50">
                  <c:v>3.3333333333333335</c:v>
                </c:pt>
                <c:pt idx="51">
                  <c:v>3.4</c:v>
                </c:pt>
                <c:pt idx="52">
                  <c:v>3.4666666666666668</c:v>
                </c:pt>
                <c:pt idx="53">
                  <c:v>3.5333333333333332</c:v>
                </c:pt>
                <c:pt idx="54">
                  <c:v>3.6</c:v>
                </c:pt>
                <c:pt idx="55">
                  <c:v>3.6666666666666665</c:v>
                </c:pt>
                <c:pt idx="56">
                  <c:v>3.7333333333333334</c:v>
                </c:pt>
                <c:pt idx="57">
                  <c:v>3.8</c:v>
                </c:pt>
                <c:pt idx="58">
                  <c:v>3.8666666666666667</c:v>
                </c:pt>
                <c:pt idx="59">
                  <c:v>3.9333333333333331</c:v>
                </c:pt>
                <c:pt idx="60">
                  <c:v>4</c:v>
                </c:pt>
                <c:pt idx="61">
                  <c:v>4.0666666666666664</c:v>
                </c:pt>
                <c:pt idx="62">
                  <c:v>4.1333333333333329</c:v>
                </c:pt>
                <c:pt idx="63">
                  <c:v>4.2</c:v>
                </c:pt>
                <c:pt idx="64">
                  <c:v>4.2666666666666666</c:v>
                </c:pt>
                <c:pt idx="65">
                  <c:v>4.333333333333333</c:v>
                </c:pt>
                <c:pt idx="66">
                  <c:v>4.4000000000000004</c:v>
                </c:pt>
                <c:pt idx="67">
                  <c:v>4.4666666666666668</c:v>
                </c:pt>
                <c:pt idx="68">
                  <c:v>4.5333333333333332</c:v>
                </c:pt>
                <c:pt idx="69">
                  <c:v>4.5999999999999996</c:v>
                </c:pt>
                <c:pt idx="70">
                  <c:v>4.666666666666667</c:v>
                </c:pt>
                <c:pt idx="71">
                  <c:v>4.7333333333333334</c:v>
                </c:pt>
                <c:pt idx="72">
                  <c:v>4.8</c:v>
                </c:pt>
                <c:pt idx="73">
                  <c:v>4.8666666666666663</c:v>
                </c:pt>
                <c:pt idx="74">
                  <c:v>4.9333333333333336</c:v>
                </c:pt>
                <c:pt idx="75">
                  <c:v>5</c:v>
                </c:pt>
                <c:pt idx="76">
                  <c:v>5.0666666666666664</c:v>
                </c:pt>
                <c:pt idx="77">
                  <c:v>5.1333333333333329</c:v>
                </c:pt>
                <c:pt idx="78">
                  <c:v>5.2</c:v>
                </c:pt>
                <c:pt idx="79">
                  <c:v>5.2666666666666666</c:v>
                </c:pt>
                <c:pt idx="80">
                  <c:v>5.333333333333333</c:v>
                </c:pt>
                <c:pt idx="81">
                  <c:v>5.4</c:v>
                </c:pt>
                <c:pt idx="82">
                  <c:v>5.4666666666666668</c:v>
                </c:pt>
                <c:pt idx="83">
                  <c:v>5.5333333333333332</c:v>
                </c:pt>
                <c:pt idx="84">
                  <c:v>5.6</c:v>
                </c:pt>
                <c:pt idx="85">
                  <c:v>5.666666666666667</c:v>
                </c:pt>
                <c:pt idx="86">
                  <c:v>5.7333333333333334</c:v>
                </c:pt>
                <c:pt idx="87">
                  <c:v>5.8</c:v>
                </c:pt>
                <c:pt idx="88">
                  <c:v>5.8666666666666663</c:v>
                </c:pt>
                <c:pt idx="89">
                  <c:v>5.9333333333333336</c:v>
                </c:pt>
                <c:pt idx="90">
                  <c:v>6</c:v>
                </c:pt>
                <c:pt idx="91">
                  <c:v>6.0666666666666664</c:v>
                </c:pt>
                <c:pt idx="92">
                  <c:v>6.1333333333333329</c:v>
                </c:pt>
                <c:pt idx="93">
                  <c:v>6.2</c:v>
                </c:pt>
                <c:pt idx="94">
                  <c:v>6.2666666666666666</c:v>
                </c:pt>
                <c:pt idx="95">
                  <c:v>6.333333333333333</c:v>
                </c:pt>
                <c:pt idx="96">
                  <c:v>6.4</c:v>
                </c:pt>
                <c:pt idx="97">
                  <c:v>6.4666666666666668</c:v>
                </c:pt>
                <c:pt idx="98">
                  <c:v>6.5333333333333332</c:v>
                </c:pt>
                <c:pt idx="99">
                  <c:v>6.6</c:v>
                </c:pt>
                <c:pt idx="100">
                  <c:v>6.666666666666667</c:v>
                </c:pt>
                <c:pt idx="101">
                  <c:v>6.7333333333333334</c:v>
                </c:pt>
                <c:pt idx="102">
                  <c:v>6.8</c:v>
                </c:pt>
                <c:pt idx="103">
                  <c:v>6.8666666666666663</c:v>
                </c:pt>
                <c:pt idx="104">
                  <c:v>6.9333333333333336</c:v>
                </c:pt>
                <c:pt idx="105">
                  <c:v>7</c:v>
                </c:pt>
                <c:pt idx="106">
                  <c:v>7.0666666666666664</c:v>
                </c:pt>
                <c:pt idx="107">
                  <c:v>7.1333333333333329</c:v>
                </c:pt>
                <c:pt idx="108">
                  <c:v>7.2</c:v>
                </c:pt>
                <c:pt idx="109">
                  <c:v>7.2666666666666666</c:v>
                </c:pt>
                <c:pt idx="110">
                  <c:v>7.333333333333333</c:v>
                </c:pt>
                <c:pt idx="111">
                  <c:v>7.3999999999999995</c:v>
                </c:pt>
                <c:pt idx="112">
                  <c:v>7.4666666666666668</c:v>
                </c:pt>
                <c:pt idx="113">
                  <c:v>7.5333333333333332</c:v>
                </c:pt>
                <c:pt idx="114">
                  <c:v>7.6</c:v>
                </c:pt>
                <c:pt idx="115">
                  <c:v>7.666666666666667</c:v>
                </c:pt>
                <c:pt idx="116">
                  <c:v>7.7333333333333334</c:v>
                </c:pt>
                <c:pt idx="117">
                  <c:v>7.8</c:v>
                </c:pt>
                <c:pt idx="118">
                  <c:v>7.8666666666666663</c:v>
                </c:pt>
                <c:pt idx="119">
                  <c:v>7.9333333333333336</c:v>
                </c:pt>
                <c:pt idx="120">
                  <c:v>8</c:v>
                </c:pt>
                <c:pt idx="121">
                  <c:v>8.0666666666666664</c:v>
                </c:pt>
                <c:pt idx="122">
                  <c:v>8.1333333333333329</c:v>
                </c:pt>
                <c:pt idx="123">
                  <c:v>8.1999999999999993</c:v>
                </c:pt>
                <c:pt idx="124">
                  <c:v>8.2666666666666657</c:v>
                </c:pt>
                <c:pt idx="125">
                  <c:v>8.3333333333333339</c:v>
                </c:pt>
                <c:pt idx="126">
                  <c:v>8.4</c:v>
                </c:pt>
                <c:pt idx="127">
                  <c:v>8.4666666666666668</c:v>
                </c:pt>
                <c:pt idx="128">
                  <c:v>8.5333333333333332</c:v>
                </c:pt>
                <c:pt idx="129">
                  <c:v>8.6</c:v>
                </c:pt>
                <c:pt idx="130">
                  <c:v>8.6666666666666661</c:v>
                </c:pt>
                <c:pt idx="131">
                  <c:v>8.7333333333333325</c:v>
                </c:pt>
                <c:pt idx="132">
                  <c:v>8.8000000000000007</c:v>
                </c:pt>
                <c:pt idx="133">
                  <c:v>8.8666666666666671</c:v>
                </c:pt>
                <c:pt idx="134">
                  <c:v>8.9333333333333336</c:v>
                </c:pt>
                <c:pt idx="135">
                  <c:v>9</c:v>
                </c:pt>
                <c:pt idx="136">
                  <c:v>9.0666666666666664</c:v>
                </c:pt>
                <c:pt idx="137">
                  <c:v>9.1333333333333329</c:v>
                </c:pt>
                <c:pt idx="138">
                  <c:v>9.1999999999999993</c:v>
                </c:pt>
                <c:pt idx="139">
                  <c:v>9.2666666666666657</c:v>
                </c:pt>
                <c:pt idx="140">
                  <c:v>9.3333333333333339</c:v>
                </c:pt>
                <c:pt idx="141">
                  <c:v>9.4</c:v>
                </c:pt>
                <c:pt idx="142">
                  <c:v>9.4666666666666668</c:v>
                </c:pt>
                <c:pt idx="143">
                  <c:v>9.5333333333333332</c:v>
                </c:pt>
                <c:pt idx="144">
                  <c:v>9.6</c:v>
                </c:pt>
                <c:pt idx="145">
                  <c:v>9.6666666666666661</c:v>
                </c:pt>
                <c:pt idx="146">
                  <c:v>9.7333333333333325</c:v>
                </c:pt>
                <c:pt idx="147">
                  <c:v>9.8000000000000007</c:v>
                </c:pt>
                <c:pt idx="148">
                  <c:v>9.8666666666666671</c:v>
                </c:pt>
                <c:pt idx="149">
                  <c:v>9.9333333333333336</c:v>
                </c:pt>
                <c:pt idx="150">
                  <c:v>10</c:v>
                </c:pt>
              </c:numCache>
            </c:numRef>
          </c:xVal>
          <c:yVal>
            <c:numRef>
              <c:f>Eff_vs_IOUT!$AO$7:$AO$157</c:f>
              <c:numCache>
                <c:formatCode>General</c:formatCode>
                <c:ptCount val="151"/>
                <c:pt idx="0">
                  <c:v>0</c:v>
                </c:pt>
                <c:pt idx="1">
                  <c:v>5.1507025999622199E-4</c:v>
                </c:pt>
                <c:pt idx="2">
                  <c:v>1.4568386945233865E-3</c:v>
                </c:pt>
                <c:pt idx="3">
                  <c:v>2.6763835793435042E-3</c:v>
                </c:pt>
                <c:pt idx="4">
                  <c:v>4.1205620799697759E-3</c:v>
                </c:pt>
                <c:pt idx="5">
                  <c:v>5.758660572700215E-3</c:v>
                </c:pt>
                <c:pt idx="6">
                  <c:v>7.5699559120404637E-3</c:v>
                </c:pt>
                <c:pt idx="7">
                  <c:v>9.5392347097276887E-3</c:v>
                </c:pt>
                <c:pt idx="8">
                  <c:v>1.1654709556187094E-2</c:v>
                </c:pt>
                <c:pt idx="9">
                  <c:v>1.3906897019897998E-2</c:v>
                </c:pt>
                <c:pt idx="10">
                  <c:v>1.6287951766031719E-2</c:v>
                </c:pt>
                <c:pt idx="11">
                  <c:v>1.8791242723860985E-2</c:v>
                </c:pt>
                <c:pt idx="12">
                  <c:v>2.1411068634748034E-2</c:v>
                </c:pt>
                <c:pt idx="13">
                  <c:v>2.4142459027478316E-2</c:v>
                </c:pt>
                <c:pt idx="14">
                  <c:v>2.698103020231413E-2</c:v>
                </c:pt>
                <c:pt idx="15">
                  <c:v>2.9922878086381381E-2</c:v>
                </c:pt>
                <c:pt idx="16">
                  <c:v>3.2964496639758208E-2</c:v>
                </c:pt>
                <c:pt idx="17">
                  <c:v>3.6102714471839159E-2</c:v>
                </c:pt>
                <c:pt idx="18">
                  <c:v>4.6440342892224255E-2</c:v>
                </c:pt>
                <c:pt idx="19">
                  <c:v>5.0693650377854921E-2</c:v>
                </c:pt>
                <c:pt idx="20">
                  <c:v>5.5176866376222461E-2</c:v>
                </c:pt>
                <c:pt idx="21">
                  <c:v>5.9889990887326772E-2</c:v>
                </c:pt>
                <c:pt idx="22">
                  <c:v>6.4833023911167867E-2</c:v>
                </c:pt>
                <c:pt idx="23">
                  <c:v>7.0005965447745747E-2</c:v>
                </c:pt>
                <c:pt idx="24">
                  <c:v>7.540881549706048E-2</c:v>
                </c:pt>
                <c:pt idx="25">
                  <c:v>8.1041574059111984E-2</c:v>
                </c:pt>
                <c:pt idx="26">
                  <c:v>8.6904241133900231E-2</c:v>
                </c:pt>
                <c:pt idx="27">
                  <c:v>9.2996816721425277E-2</c:v>
                </c:pt>
                <c:pt idx="28">
                  <c:v>9.9319300821687218E-2</c:v>
                </c:pt>
                <c:pt idx="29">
                  <c:v>0.1058716934346859</c:v>
                </c:pt>
                <c:pt idx="30">
                  <c:v>0.11265399456042138</c:v>
                </c:pt>
                <c:pt idx="31">
                  <c:v>0.11966620419889357</c:v>
                </c:pt>
                <c:pt idx="32">
                  <c:v>0.12690832235010274</c:v>
                </c:pt>
                <c:pt idx="33">
                  <c:v>0.13438034901404858</c:v>
                </c:pt>
                <c:pt idx="34">
                  <c:v>0.14208228419073118</c:v>
                </c:pt>
                <c:pt idx="35">
                  <c:v>0.15001412788015064</c:v>
                </c:pt>
                <c:pt idx="36">
                  <c:v>0.15817588008230696</c:v>
                </c:pt>
                <c:pt idx="37">
                  <c:v>0.16656754079719993</c:v>
                </c:pt>
                <c:pt idx="38">
                  <c:v>0.17518911002482976</c:v>
                </c:pt>
                <c:pt idx="39">
                  <c:v>0.18404058776519647</c:v>
                </c:pt>
                <c:pt idx="40">
                  <c:v>0.19312197401829972</c:v>
                </c:pt>
                <c:pt idx="41">
                  <c:v>0.20243326878414006</c:v>
                </c:pt>
                <c:pt idx="42">
                  <c:v>0.21197447206271708</c:v>
                </c:pt>
                <c:pt idx="43">
                  <c:v>0.22174558385403087</c:v>
                </c:pt>
                <c:pt idx="44">
                  <c:v>0.23174660415808152</c:v>
                </c:pt>
                <c:pt idx="45">
                  <c:v>0.24197753297486885</c:v>
                </c:pt>
                <c:pt idx="46">
                  <c:v>0.25243837030439298</c:v>
                </c:pt>
                <c:pt idx="47">
                  <c:v>0.26312911614665419</c:v>
                </c:pt>
                <c:pt idx="48">
                  <c:v>0.27404977050165197</c:v>
                </c:pt>
                <c:pt idx="49">
                  <c:v>0.28520033336938638</c:v>
                </c:pt>
                <c:pt idx="50">
                  <c:v>0.29658080474985776</c:v>
                </c:pt>
                <c:pt idx="51">
                  <c:v>0.30819118464306589</c:v>
                </c:pt>
                <c:pt idx="52">
                  <c:v>0.32003147304901081</c:v>
                </c:pt>
                <c:pt idx="53">
                  <c:v>0.33210166996769275</c:v>
                </c:pt>
                <c:pt idx="54">
                  <c:v>0.34440177539911127</c:v>
                </c:pt>
                <c:pt idx="55">
                  <c:v>0.35693178934326664</c:v>
                </c:pt>
                <c:pt idx="56">
                  <c:v>0.36969171180015886</c:v>
                </c:pt>
                <c:pt idx="57">
                  <c:v>0.38268154276978772</c:v>
                </c:pt>
                <c:pt idx="58">
                  <c:v>0.39590128225215349</c:v>
                </c:pt>
                <c:pt idx="59">
                  <c:v>0.40935093024725627</c:v>
                </c:pt>
                <c:pt idx="60">
                  <c:v>0.4230304867550953</c:v>
                </c:pt>
                <c:pt idx="61">
                  <c:v>0.43693995177567163</c:v>
                </c:pt>
                <c:pt idx="62">
                  <c:v>0.45107932530898409</c:v>
                </c:pt>
                <c:pt idx="63">
                  <c:v>0.46544860735503407</c:v>
                </c:pt>
                <c:pt idx="64">
                  <c:v>0.48004779791382057</c:v>
                </c:pt>
                <c:pt idx="65">
                  <c:v>0.49487689698534371</c:v>
                </c:pt>
                <c:pt idx="66">
                  <c:v>0.50993590456960436</c:v>
                </c:pt>
                <c:pt idx="67">
                  <c:v>0.52522482066660103</c:v>
                </c:pt>
                <c:pt idx="68">
                  <c:v>0.54074364527633445</c:v>
                </c:pt>
                <c:pt idx="69">
                  <c:v>0.55649237839880505</c:v>
                </c:pt>
                <c:pt idx="70">
                  <c:v>0.57247102003401262</c:v>
                </c:pt>
                <c:pt idx="71">
                  <c:v>0.58867957018195638</c:v>
                </c:pt>
                <c:pt idx="72">
                  <c:v>0.60511802884263732</c:v>
                </c:pt>
                <c:pt idx="73">
                  <c:v>0.62178639601605512</c:v>
                </c:pt>
                <c:pt idx="74">
                  <c:v>0.63868467170220966</c:v>
                </c:pt>
                <c:pt idx="75">
                  <c:v>0.65581285590110083</c:v>
                </c:pt>
                <c:pt idx="76">
                  <c:v>0.67317094861272875</c:v>
                </c:pt>
                <c:pt idx="77">
                  <c:v>0.69075894983709374</c:v>
                </c:pt>
                <c:pt idx="78">
                  <c:v>0.70857685957419547</c:v>
                </c:pt>
                <c:pt idx="79">
                  <c:v>0.72662467782403373</c:v>
                </c:pt>
                <c:pt idx="80">
                  <c:v>0.74490240458660906</c:v>
                </c:pt>
                <c:pt idx="81">
                  <c:v>0.76341003986192124</c:v>
                </c:pt>
                <c:pt idx="82">
                  <c:v>0.78214758364996995</c:v>
                </c:pt>
                <c:pt idx="83">
                  <c:v>0.80111503595075573</c:v>
                </c:pt>
                <c:pt idx="84">
                  <c:v>0.82031239676427803</c:v>
                </c:pt>
                <c:pt idx="85">
                  <c:v>0.8397396660905373</c:v>
                </c:pt>
                <c:pt idx="86">
                  <c:v>0.85939684392953353</c:v>
                </c:pt>
                <c:pt idx="87">
                  <c:v>0.87928393028126606</c:v>
                </c:pt>
                <c:pt idx="88">
                  <c:v>0.89940092514573555</c:v>
                </c:pt>
                <c:pt idx="89">
                  <c:v>0.91974782852294257</c:v>
                </c:pt>
                <c:pt idx="90">
                  <c:v>0.94032464041288533</c:v>
                </c:pt>
                <c:pt idx="91">
                  <c:v>0.96113136081556472</c:v>
                </c:pt>
                <c:pt idx="92">
                  <c:v>0.98216798973098196</c:v>
                </c:pt>
                <c:pt idx="93">
                  <c:v>1.0034345271591356</c:v>
                </c:pt>
                <c:pt idx="94">
                  <c:v>1.0249309731000256</c:v>
                </c:pt>
                <c:pt idx="95">
                  <c:v>1.0466573275536533</c:v>
                </c:pt>
                <c:pt idx="96">
                  <c:v>1.0686135905200171</c:v>
                </c:pt>
                <c:pt idx="97">
                  <c:v>1.0907997619991172</c:v>
                </c:pt>
                <c:pt idx="98">
                  <c:v>1.1132158419909557</c:v>
                </c:pt>
                <c:pt idx="99">
                  <c:v>1.1358618304955292</c:v>
                </c:pt>
                <c:pt idx="100">
                  <c:v>1.1587377275128414</c:v>
                </c:pt>
                <c:pt idx="101">
                  <c:v>1.1818435330428889</c:v>
                </c:pt>
                <c:pt idx="102">
                  <c:v>1.2051792470856735</c:v>
                </c:pt>
                <c:pt idx="103">
                  <c:v>1.2287448696411953</c:v>
                </c:pt>
                <c:pt idx="104">
                  <c:v>1.2525404007094534</c:v>
                </c:pt>
                <c:pt idx="105">
                  <c:v>1.2765658402904485</c:v>
                </c:pt>
                <c:pt idx="106">
                  <c:v>1.3008211883841807</c:v>
                </c:pt>
                <c:pt idx="107">
                  <c:v>1.3253064449906489</c:v>
                </c:pt>
                <c:pt idx="108">
                  <c:v>1.350021610109855</c:v>
                </c:pt>
                <c:pt idx="109">
                  <c:v>1.3749666837417975</c:v>
                </c:pt>
                <c:pt idx="110">
                  <c:v>1.4001416658864758</c:v>
                </c:pt>
                <c:pt idx="111">
                  <c:v>1.4255465565438923</c:v>
                </c:pt>
                <c:pt idx="112">
                  <c:v>1.4511813557140447</c:v>
                </c:pt>
                <c:pt idx="113">
                  <c:v>1.4770460633969347</c:v>
                </c:pt>
                <c:pt idx="114">
                  <c:v>1.5031406795925608</c:v>
                </c:pt>
                <c:pt idx="115">
                  <c:v>1.5294652043009238</c:v>
                </c:pt>
                <c:pt idx="116">
                  <c:v>1.5560196375220241</c:v>
                </c:pt>
                <c:pt idx="117">
                  <c:v>1.5828039792558601</c:v>
                </c:pt>
                <c:pt idx="118">
                  <c:v>1.6098182295024335</c:v>
                </c:pt>
                <c:pt idx="119">
                  <c:v>1.6370623882617448</c:v>
                </c:pt>
                <c:pt idx="120">
                  <c:v>1.6645364555337909</c:v>
                </c:pt>
                <c:pt idx="121">
                  <c:v>1.6922404313185753</c:v>
                </c:pt>
                <c:pt idx="122">
                  <c:v>1.7201743156160954</c:v>
                </c:pt>
                <c:pt idx="123">
                  <c:v>1.7483381084263525</c:v>
                </c:pt>
                <c:pt idx="124">
                  <c:v>1.7767318097493465</c:v>
                </c:pt>
                <c:pt idx="125">
                  <c:v>1.8053554195850787</c:v>
                </c:pt>
                <c:pt idx="126">
                  <c:v>1.8342089379335469</c:v>
                </c:pt>
                <c:pt idx="127">
                  <c:v>1.8632923647947504</c:v>
                </c:pt>
                <c:pt idx="128">
                  <c:v>1.8926057001686929</c:v>
                </c:pt>
                <c:pt idx="129">
                  <c:v>1.9221489440553703</c:v>
                </c:pt>
                <c:pt idx="130">
                  <c:v>1.9519220964547854</c:v>
                </c:pt>
                <c:pt idx="131">
                  <c:v>1.9819251573669374</c:v>
                </c:pt>
                <c:pt idx="132">
                  <c:v>2.0121581267918272</c:v>
                </c:pt>
                <c:pt idx="133">
                  <c:v>2.0426210047294515</c:v>
                </c:pt>
                <c:pt idx="134">
                  <c:v>2.0733137911798138</c:v>
                </c:pt>
                <c:pt idx="135">
                  <c:v>2.1042364861429133</c:v>
                </c:pt>
                <c:pt idx="136">
                  <c:v>2.1353890896187484</c:v>
                </c:pt>
                <c:pt idx="137">
                  <c:v>2.1667716016073211</c:v>
                </c:pt>
                <c:pt idx="138">
                  <c:v>2.1983840221086304</c:v>
                </c:pt>
                <c:pt idx="139">
                  <c:v>2.2302263511226759</c:v>
                </c:pt>
                <c:pt idx="140">
                  <c:v>2.2622985886494602</c:v>
                </c:pt>
                <c:pt idx="141">
                  <c:v>2.2946007346889794</c:v>
                </c:pt>
                <c:pt idx="142">
                  <c:v>2.3271327892412352</c:v>
                </c:pt>
                <c:pt idx="143">
                  <c:v>2.3598947523062295</c:v>
                </c:pt>
                <c:pt idx="144">
                  <c:v>2.3928866238839599</c:v>
                </c:pt>
                <c:pt idx="145">
                  <c:v>2.4261084039744261</c:v>
                </c:pt>
                <c:pt idx="146">
                  <c:v>2.4595600925776302</c:v>
                </c:pt>
                <c:pt idx="147">
                  <c:v>2.4932416896935714</c:v>
                </c:pt>
                <c:pt idx="148">
                  <c:v>2.5271531953222488</c:v>
                </c:pt>
                <c:pt idx="149">
                  <c:v>2.5612946094636619</c:v>
                </c:pt>
                <c:pt idx="150">
                  <c:v>2.5956659321178135</c:v>
                </c:pt>
              </c:numCache>
            </c:numRef>
          </c:yVal>
          <c:smooth val="1"/>
          <c:extLst>
            <c:ext xmlns:c16="http://schemas.microsoft.com/office/drawing/2014/chart" uri="{C3380CC4-5D6E-409C-BE32-E72D297353CC}">
              <c16:uniqueId val="{00000003-0369-40DB-801C-ED0FF8C612AA}"/>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22"/>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9</xdr:col>
      <xdr:colOff>22860</xdr:colOff>
      <xdr:row>49</xdr:row>
      <xdr:rowOff>1</xdr:rowOff>
    </xdr:from>
    <xdr:to>
      <xdr:col>25</xdr:col>
      <xdr:colOff>598714</xdr:colOff>
      <xdr:row>70</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73</xdr:row>
      <xdr:rowOff>7620</xdr:rowOff>
    </xdr:from>
    <xdr:to>
      <xdr:col>25</xdr:col>
      <xdr:colOff>600637</xdr:colOff>
      <xdr:row>97</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504825</xdr:colOff>
          <xdr:row>55</xdr:row>
          <xdr:rowOff>0</xdr:rowOff>
        </xdr:from>
        <xdr:to>
          <xdr:col>8</xdr:col>
          <xdr:colOff>9525</xdr:colOff>
          <xdr:row>57</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48</xdr:row>
      <xdr:rowOff>62752</xdr:rowOff>
    </xdr:from>
    <xdr:to>
      <xdr:col>15</xdr:col>
      <xdr:colOff>484124</xdr:colOff>
      <xdr:row>50</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83419" y="9529481"/>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48</xdr:row>
      <xdr:rowOff>71718</xdr:rowOff>
    </xdr:from>
    <xdr:to>
      <xdr:col>16</xdr:col>
      <xdr:colOff>528939</xdr:colOff>
      <xdr:row>50</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22</a:t>
          </a:fld>
          <a:endParaRPr lang="en-US" sz="2400"/>
        </a:p>
      </xdr:txBody>
    </xdr:sp>
    <xdr:clientData/>
  </xdr:twoCellAnchor>
  <xdr:twoCellAnchor>
    <xdr:from>
      <xdr:col>15</xdr:col>
      <xdr:colOff>600663</xdr:colOff>
      <xdr:row>48</xdr:row>
      <xdr:rowOff>62752</xdr:rowOff>
    </xdr:from>
    <xdr:to>
      <xdr:col>17</xdr:col>
      <xdr:colOff>340686</xdr:colOff>
      <xdr:row>50</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9181" y="9529481"/>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73</xdr:row>
      <xdr:rowOff>26894</xdr:rowOff>
    </xdr:from>
    <xdr:to>
      <xdr:col>13</xdr:col>
      <xdr:colOff>116540</xdr:colOff>
      <xdr:row>75</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73</xdr:row>
      <xdr:rowOff>35860</xdr:rowOff>
    </xdr:from>
    <xdr:to>
      <xdr:col>14</xdr:col>
      <xdr:colOff>161355</xdr:colOff>
      <xdr:row>75</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22</a:t>
          </a:fld>
          <a:endParaRPr lang="en-US" sz="2400"/>
        </a:p>
      </xdr:txBody>
    </xdr:sp>
    <xdr:clientData/>
  </xdr:twoCellAnchor>
  <xdr:twoCellAnchor>
    <xdr:from>
      <xdr:col>13</xdr:col>
      <xdr:colOff>233079</xdr:colOff>
      <xdr:row>73</xdr:row>
      <xdr:rowOff>26894</xdr:rowOff>
    </xdr:from>
    <xdr:to>
      <xdr:col>14</xdr:col>
      <xdr:colOff>582702</xdr:colOff>
      <xdr:row>75</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582705</xdr:colOff>
      <xdr:row>10</xdr:row>
      <xdr:rowOff>44824</xdr:rowOff>
    </xdr:from>
    <xdr:to>
      <xdr:col>24</xdr:col>
      <xdr:colOff>358588</xdr:colOff>
      <xdr:row>39</xdr:row>
      <xdr:rowOff>121201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93223" y="2294965"/>
          <a:ext cx="8193741" cy="5553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155</xdr:row>
      <xdr:rowOff>170330</xdr:rowOff>
    </xdr:from>
    <xdr:to>
      <xdr:col>14</xdr:col>
      <xdr:colOff>484094</xdr:colOff>
      <xdr:row>163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94</xdr:row>
          <xdr:rowOff>133350</xdr:rowOff>
        </xdr:from>
        <xdr:to>
          <xdr:col>13</xdr:col>
          <xdr:colOff>161925</xdr:colOff>
          <xdr:row>97</xdr:row>
          <xdr:rowOff>19050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126</xdr:row>
      <xdr:rowOff>17930</xdr:rowOff>
    </xdr:from>
    <xdr:to>
      <xdr:col>14</xdr:col>
      <xdr:colOff>475130</xdr:colOff>
      <xdr:row>135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515247</xdr:colOff>
      <xdr:row>45</xdr:row>
      <xdr:rowOff>69934</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129612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7620</xdr:colOff>
      <xdr:row>0</xdr:row>
      <xdr:rowOff>175260</xdr:rowOff>
    </xdr:from>
    <xdr:to>
      <xdr:col>1</xdr:col>
      <xdr:colOff>4960630</xdr:colOff>
      <xdr:row>1</xdr:row>
      <xdr:rowOff>3390907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 y="175260"/>
          <a:ext cx="4953010" cy="3398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A99"/>
  <sheetViews>
    <sheetView tabSelected="1" topLeftCell="A52" zoomScale="70" zoomScaleNormal="70" workbookViewId="0">
      <selection activeCell="H71" sqref="H71"/>
    </sheetView>
  </sheetViews>
  <sheetFormatPr defaultColWidth="8.85546875" defaultRowHeight="15" x14ac:dyDescent="0.25"/>
  <cols>
    <col min="1" max="6" width="8.85546875" style="123" customWidth="1"/>
    <col min="7" max="7" width="8.85546875" style="192" customWidth="1"/>
    <col min="8" max="8" width="12" style="123" bestFit="1" customWidth="1"/>
    <col min="9" max="9" width="4.28515625" style="123" bestFit="1" customWidth="1"/>
    <col min="10" max="10" width="4.7109375" style="123" customWidth="1"/>
    <col min="11" max="20" width="8.85546875" style="123" customWidth="1"/>
    <col min="21" max="21" width="8.85546875" style="127" customWidth="1"/>
    <col min="22" max="22" width="7.28515625" style="123" customWidth="1"/>
    <col min="23" max="26" width="8.85546875" style="123" customWidth="1"/>
    <col min="27" max="27" width="1.7109375" style="193" customWidth="1"/>
    <col min="28" max="16384" width="8.85546875" style="123"/>
  </cols>
  <sheetData>
    <row r="1" spans="1:27" ht="46.9" customHeight="1" x14ac:dyDescent="0.25">
      <c r="A1" s="118"/>
      <c r="B1" s="118"/>
      <c r="C1" s="118"/>
      <c r="D1" s="118"/>
      <c r="E1" s="119" t="s">
        <v>287</v>
      </c>
      <c r="F1" s="118"/>
      <c r="G1" s="120"/>
      <c r="H1" s="118"/>
      <c r="I1" s="118"/>
      <c r="J1" s="118"/>
      <c r="K1" s="118"/>
      <c r="L1" s="118"/>
      <c r="M1" s="118"/>
      <c r="N1" s="118"/>
      <c r="O1" s="118"/>
      <c r="P1" s="118"/>
      <c r="Q1" s="118"/>
      <c r="R1" s="118"/>
      <c r="S1" s="118"/>
      <c r="T1" s="118"/>
      <c r="U1" s="121"/>
      <c r="V1" s="118"/>
      <c r="W1" s="118"/>
      <c r="X1" s="118"/>
      <c r="Y1" s="118"/>
      <c r="Z1" s="118"/>
      <c r="AA1" s="122"/>
    </row>
    <row r="2" spans="1:27" s="127" customFormat="1" x14ac:dyDescent="0.25">
      <c r="A2" s="124"/>
      <c r="B2" s="124"/>
      <c r="C2" s="124"/>
      <c r="D2" s="124"/>
      <c r="E2" s="124"/>
      <c r="F2" s="124"/>
      <c r="G2" s="125"/>
      <c r="H2" s="124"/>
      <c r="I2" s="124"/>
      <c r="J2" s="124"/>
      <c r="K2" s="124"/>
      <c r="L2" s="124"/>
      <c r="M2" s="124"/>
      <c r="N2" s="124"/>
      <c r="O2" s="124"/>
      <c r="P2" s="124"/>
      <c r="Q2" s="124"/>
      <c r="R2" s="124"/>
      <c r="S2" s="124"/>
      <c r="T2" s="124"/>
      <c r="U2" s="124"/>
      <c r="V2" s="124"/>
      <c r="W2" s="124"/>
      <c r="X2" s="124"/>
      <c r="Y2" s="124"/>
      <c r="Z2" s="124"/>
      <c r="AA2" s="126"/>
    </row>
    <row r="3" spans="1:27" s="127" customFormat="1" x14ac:dyDescent="0.25">
      <c r="A3" s="128" t="s">
        <v>1</v>
      </c>
      <c r="B3" s="124"/>
      <c r="C3" s="124"/>
      <c r="D3" s="124"/>
      <c r="E3" s="129"/>
      <c r="F3" s="130" t="s">
        <v>2</v>
      </c>
      <c r="G3" s="125"/>
      <c r="H3" s="124"/>
      <c r="I3" s="124"/>
      <c r="J3" s="124"/>
      <c r="K3" s="124"/>
      <c r="L3" s="124"/>
      <c r="M3" s="124"/>
      <c r="N3" s="124"/>
      <c r="O3" s="131" t="s">
        <v>0</v>
      </c>
      <c r="P3" s="124"/>
      <c r="Q3" s="124"/>
      <c r="R3" s="124"/>
      <c r="S3" s="124"/>
      <c r="T3" s="124"/>
      <c r="U3" s="124"/>
      <c r="V3" s="124"/>
      <c r="W3" s="124"/>
      <c r="X3" s="124"/>
      <c r="Y3" s="124"/>
      <c r="Z3" s="124"/>
      <c r="AA3" s="126"/>
    </row>
    <row r="4" spans="1:27" s="135" customFormat="1" x14ac:dyDescent="0.25">
      <c r="A4" s="132"/>
      <c r="B4" s="132"/>
      <c r="C4" s="132"/>
      <c r="D4" s="132"/>
      <c r="E4" s="132"/>
      <c r="F4" s="132"/>
      <c r="G4" s="133"/>
      <c r="H4" s="132"/>
      <c r="I4" s="132"/>
      <c r="J4" s="132"/>
      <c r="K4" s="132"/>
      <c r="L4" s="132"/>
      <c r="M4" s="132"/>
      <c r="N4" s="132"/>
      <c r="O4" s="132"/>
      <c r="P4" s="132"/>
      <c r="Q4" s="132"/>
      <c r="R4" s="132"/>
      <c r="S4" s="132"/>
      <c r="T4" s="132"/>
      <c r="U4" s="132"/>
      <c r="V4" s="132"/>
      <c r="W4" s="132"/>
      <c r="X4" s="132"/>
      <c r="Y4" s="132"/>
      <c r="Z4" s="132"/>
      <c r="AA4" s="134"/>
    </row>
    <row r="5" spans="1:27" x14ac:dyDescent="0.25">
      <c r="A5" s="136"/>
      <c r="B5" s="136"/>
      <c r="C5" s="136"/>
      <c r="D5" s="136"/>
      <c r="E5" s="136"/>
      <c r="F5" s="136"/>
      <c r="G5" s="137"/>
      <c r="H5" s="136"/>
      <c r="I5" s="136"/>
      <c r="J5" s="136"/>
      <c r="K5" s="136"/>
      <c r="L5" s="136"/>
      <c r="M5" s="136"/>
      <c r="N5" s="136"/>
      <c r="O5" s="136" t="s">
        <v>3</v>
      </c>
      <c r="P5" s="138" t="s">
        <v>503</v>
      </c>
      <c r="Q5" s="136"/>
      <c r="R5" s="136"/>
      <c r="S5" s="136"/>
      <c r="T5" s="136"/>
      <c r="U5" s="139"/>
      <c r="V5" s="136"/>
      <c r="W5" s="136"/>
      <c r="X5" s="136"/>
      <c r="Y5" s="136"/>
      <c r="Z5" s="136"/>
      <c r="AA5" s="122"/>
    </row>
    <row r="6" spans="1:27" ht="15.75" thickBot="1" x14ac:dyDescent="0.3">
      <c r="A6" s="140" t="s">
        <v>4</v>
      </c>
      <c r="B6" s="136"/>
      <c r="C6" s="136"/>
      <c r="D6" s="136"/>
      <c r="E6" s="136"/>
      <c r="F6" s="136"/>
      <c r="G6" s="137"/>
      <c r="H6" s="136"/>
      <c r="I6" s="136"/>
      <c r="J6" s="136"/>
      <c r="K6" s="136"/>
      <c r="L6" s="136"/>
      <c r="M6" s="136"/>
      <c r="N6" s="136"/>
      <c r="O6" s="136"/>
      <c r="P6" s="136"/>
      <c r="Q6" s="136"/>
      <c r="R6" s="136"/>
      <c r="S6" s="136"/>
      <c r="T6" s="136"/>
      <c r="U6" s="139"/>
      <c r="V6" s="136"/>
      <c r="W6" s="136"/>
      <c r="X6" s="136"/>
      <c r="Y6" s="136"/>
      <c r="Z6" s="136"/>
      <c r="AA6" s="122"/>
    </row>
    <row r="7" spans="1:27" x14ac:dyDescent="0.25">
      <c r="A7" s="141"/>
      <c r="B7" s="142"/>
      <c r="C7" s="142"/>
      <c r="D7" s="142"/>
      <c r="E7" s="142"/>
      <c r="F7" s="142"/>
      <c r="G7" s="143" t="s">
        <v>5</v>
      </c>
      <c r="H7" s="195">
        <v>20</v>
      </c>
      <c r="I7" s="144" t="s">
        <v>12</v>
      </c>
      <c r="J7" s="136"/>
      <c r="K7" s="136"/>
      <c r="L7" s="136"/>
      <c r="M7" s="136"/>
      <c r="N7" s="136"/>
      <c r="O7" s="136"/>
      <c r="P7" s="136"/>
      <c r="Q7" s="136"/>
      <c r="R7" s="136"/>
      <c r="S7" s="136"/>
      <c r="T7" s="136"/>
      <c r="U7" s="139"/>
      <c r="V7" s="136"/>
      <c r="W7" s="136"/>
      <c r="X7" s="136"/>
      <c r="Y7" s="136"/>
      <c r="Z7" s="136"/>
      <c r="AA7" s="122"/>
    </row>
    <row r="8" spans="1:27" x14ac:dyDescent="0.25">
      <c r="A8" s="145"/>
      <c r="B8" s="139"/>
      <c r="C8" s="139"/>
      <c r="D8" s="139"/>
      <c r="E8" s="139"/>
      <c r="F8" s="139"/>
      <c r="G8" s="146" t="s">
        <v>6</v>
      </c>
      <c r="H8" s="196">
        <v>22</v>
      </c>
      <c r="I8" s="147" t="s">
        <v>12</v>
      </c>
      <c r="J8" s="136"/>
      <c r="K8" s="136"/>
      <c r="L8" s="136"/>
      <c r="M8" s="136"/>
      <c r="N8" s="136"/>
      <c r="O8" s="136"/>
      <c r="P8" s="136"/>
      <c r="Q8" s="136"/>
      <c r="R8" s="136"/>
      <c r="S8" s="136"/>
      <c r="T8" s="136"/>
      <c r="U8" s="139"/>
      <c r="V8" s="136"/>
      <c r="W8" s="136"/>
      <c r="X8" s="136"/>
      <c r="Y8" s="136"/>
      <c r="Z8" s="136"/>
      <c r="AA8" s="122"/>
    </row>
    <row r="9" spans="1:27" x14ac:dyDescent="0.25">
      <c r="A9" s="145"/>
      <c r="B9" s="139"/>
      <c r="C9" s="139"/>
      <c r="D9" s="139"/>
      <c r="E9" s="139"/>
      <c r="F9" s="139"/>
      <c r="G9" s="146" t="s">
        <v>7</v>
      </c>
      <c r="H9" s="196">
        <v>25</v>
      </c>
      <c r="I9" s="147" t="s">
        <v>12</v>
      </c>
      <c r="J9" s="136"/>
      <c r="K9" s="136"/>
      <c r="L9" s="136"/>
      <c r="M9" s="136"/>
      <c r="N9" s="136"/>
      <c r="O9" s="136"/>
      <c r="P9" s="136"/>
      <c r="Q9" s="136"/>
      <c r="R9" s="136"/>
      <c r="S9" s="136"/>
      <c r="T9" s="136"/>
      <c r="U9" s="139"/>
      <c r="V9" s="136"/>
      <c r="W9" s="136"/>
      <c r="X9" s="136"/>
      <c r="Y9" s="136"/>
      <c r="Z9" s="136"/>
      <c r="AA9" s="122"/>
    </row>
    <row r="10" spans="1:27" x14ac:dyDescent="0.25">
      <c r="A10" s="145"/>
      <c r="B10" s="139"/>
      <c r="C10" s="139"/>
      <c r="D10" s="139"/>
      <c r="E10" s="139"/>
      <c r="F10" s="139"/>
      <c r="G10" s="146" t="s">
        <v>8</v>
      </c>
      <c r="H10" s="196">
        <v>100</v>
      </c>
      <c r="I10" s="147" t="s">
        <v>12</v>
      </c>
      <c r="J10" s="136"/>
      <c r="K10" s="136"/>
      <c r="L10" s="136"/>
      <c r="M10" s="136"/>
      <c r="N10" s="136"/>
      <c r="O10" s="136"/>
      <c r="P10" s="136"/>
      <c r="Q10" s="136"/>
      <c r="R10" s="136"/>
      <c r="S10" s="136"/>
      <c r="T10" s="136"/>
      <c r="U10" s="139"/>
      <c r="V10" s="136"/>
      <c r="W10" s="136"/>
      <c r="X10" s="136"/>
      <c r="Y10" s="136"/>
      <c r="Z10" s="136"/>
      <c r="AA10" s="122"/>
    </row>
    <row r="11" spans="1:27" x14ac:dyDescent="0.25">
      <c r="A11" s="145"/>
      <c r="B11" s="139"/>
      <c r="C11" s="139"/>
      <c r="D11" s="139"/>
      <c r="E11" s="139"/>
      <c r="F11" s="139"/>
      <c r="G11" s="146" t="s">
        <v>9</v>
      </c>
      <c r="H11" s="196">
        <v>10</v>
      </c>
      <c r="I11" s="147" t="s">
        <v>13</v>
      </c>
      <c r="J11" s="136"/>
      <c r="K11" s="136"/>
      <c r="L11" s="136"/>
      <c r="M11" s="136"/>
      <c r="N11" s="136"/>
      <c r="O11" s="136"/>
      <c r="P11" s="136"/>
      <c r="Q11" s="136"/>
      <c r="R11" s="136"/>
      <c r="S11" s="136"/>
      <c r="T11" s="136"/>
      <c r="U11" s="139"/>
      <c r="V11" s="136"/>
      <c r="W11" s="136"/>
      <c r="X11" s="136"/>
      <c r="Y11" s="136"/>
      <c r="Z11" s="136"/>
      <c r="AA11" s="122"/>
    </row>
    <row r="12" spans="1:27" x14ac:dyDescent="0.25">
      <c r="A12" s="145"/>
      <c r="B12" s="139"/>
      <c r="C12" s="139"/>
      <c r="D12" s="139"/>
      <c r="E12" s="139"/>
      <c r="F12" s="139"/>
      <c r="G12" s="146" t="s">
        <v>10</v>
      </c>
      <c r="H12" s="196">
        <v>350</v>
      </c>
      <c r="I12" s="147" t="s">
        <v>14</v>
      </c>
      <c r="J12" s="136"/>
      <c r="K12" s="136"/>
      <c r="L12" s="136"/>
      <c r="M12" s="136"/>
      <c r="N12" s="136"/>
      <c r="O12" s="136"/>
      <c r="P12" s="136"/>
      <c r="Q12" s="136"/>
      <c r="R12" s="136"/>
      <c r="S12" s="136"/>
      <c r="T12" s="136"/>
      <c r="U12" s="139"/>
      <c r="V12" s="136"/>
      <c r="W12" s="136"/>
      <c r="X12" s="136"/>
      <c r="Y12" s="136"/>
      <c r="Z12" s="136"/>
      <c r="AA12" s="122"/>
    </row>
    <row r="13" spans="1:27" x14ac:dyDescent="0.25">
      <c r="A13" s="145"/>
      <c r="B13" s="139"/>
      <c r="C13" s="139"/>
      <c r="D13" s="139"/>
      <c r="E13" s="139"/>
      <c r="F13" s="139"/>
      <c r="G13" s="146" t="s">
        <v>77</v>
      </c>
      <c r="H13" s="197">
        <f>RT/1000</f>
        <v>62.187857142857148</v>
      </c>
      <c r="I13" s="147" t="s">
        <v>78</v>
      </c>
      <c r="J13" s="136"/>
      <c r="K13" s="136"/>
      <c r="L13" s="136"/>
      <c r="M13" s="136"/>
      <c r="N13" s="136"/>
      <c r="O13" s="136"/>
      <c r="P13" s="136"/>
      <c r="Q13" s="136"/>
      <c r="R13" s="136"/>
      <c r="S13" s="136"/>
      <c r="T13" s="136"/>
      <c r="U13" s="139"/>
      <c r="V13" s="136"/>
      <c r="W13" s="136"/>
      <c r="X13" s="136"/>
      <c r="Y13" s="136"/>
      <c r="Z13" s="136"/>
      <c r="AA13" s="122"/>
    </row>
    <row r="14" spans="1:27" x14ac:dyDescent="0.25">
      <c r="A14" s="145"/>
      <c r="B14" s="139"/>
      <c r="C14" s="139"/>
      <c r="D14" s="139"/>
      <c r="E14" s="139"/>
      <c r="F14" s="139"/>
      <c r="G14" s="146" t="s">
        <v>11</v>
      </c>
      <c r="H14" s="196">
        <v>90</v>
      </c>
      <c r="I14" s="147" t="s">
        <v>15</v>
      </c>
      <c r="J14" s="136"/>
      <c r="K14" s="136"/>
      <c r="L14" s="136"/>
      <c r="M14" s="136"/>
      <c r="N14" s="136"/>
      <c r="O14" s="136"/>
      <c r="P14" s="136"/>
      <c r="Q14" s="136"/>
      <c r="R14" s="136"/>
      <c r="S14" s="136"/>
      <c r="T14" s="136"/>
      <c r="U14" s="139"/>
      <c r="V14" s="136"/>
      <c r="W14" s="136"/>
      <c r="X14" s="136"/>
      <c r="Y14" s="136"/>
      <c r="Z14" s="136"/>
      <c r="AA14" s="122"/>
    </row>
    <row r="15" spans="1:27" x14ac:dyDescent="0.25">
      <c r="A15" s="145"/>
      <c r="B15" s="139"/>
      <c r="C15" s="139"/>
      <c r="D15" s="139"/>
      <c r="E15" s="139"/>
      <c r="F15" s="139"/>
      <c r="G15" s="146" t="s">
        <v>16</v>
      </c>
      <c r="H15" s="198">
        <f>POUT</f>
        <v>1000</v>
      </c>
      <c r="I15" s="147" t="s">
        <v>40</v>
      </c>
      <c r="J15" s="136"/>
      <c r="K15" s="136"/>
      <c r="L15" s="136"/>
      <c r="M15" s="136"/>
      <c r="N15" s="136"/>
      <c r="O15" s="136"/>
      <c r="P15" s="136"/>
      <c r="Q15" s="136"/>
      <c r="R15" s="136"/>
      <c r="S15" s="136"/>
      <c r="T15" s="136"/>
      <c r="U15" s="139"/>
      <c r="V15" s="136"/>
      <c r="W15" s="136"/>
      <c r="X15" s="136"/>
      <c r="Y15" s="136"/>
      <c r="Z15" s="136"/>
      <c r="AA15" s="122"/>
    </row>
    <row r="16" spans="1:27" x14ac:dyDescent="0.25">
      <c r="A16" s="148"/>
      <c r="B16" s="149"/>
      <c r="C16" s="149"/>
      <c r="D16" s="149"/>
      <c r="E16" s="149"/>
      <c r="F16" s="139"/>
      <c r="G16" s="150" t="s">
        <v>497</v>
      </c>
      <c r="H16" s="199">
        <f>Dc_max_IC*100</f>
        <v>93</v>
      </c>
      <c r="I16" s="147" t="s">
        <v>15</v>
      </c>
      <c r="J16" s="136"/>
      <c r="K16" s="136"/>
      <c r="L16" s="136"/>
      <c r="M16" s="136"/>
      <c r="N16" s="136"/>
      <c r="O16" s="136"/>
      <c r="P16" s="136"/>
      <c r="Q16" s="136"/>
      <c r="R16" s="136"/>
      <c r="S16" s="136"/>
      <c r="T16" s="136"/>
      <c r="U16" s="139"/>
      <c r="V16" s="136"/>
      <c r="W16" s="136"/>
      <c r="X16" s="136"/>
      <c r="Y16" s="136"/>
      <c r="Z16" s="136"/>
      <c r="AA16" s="122"/>
    </row>
    <row r="17" spans="1:27" ht="15.75" thickBot="1" x14ac:dyDescent="0.3">
      <c r="A17" s="151"/>
      <c r="B17" s="152"/>
      <c r="C17" s="152"/>
      <c r="D17" s="152"/>
      <c r="E17" s="152"/>
      <c r="F17" s="153"/>
      <c r="G17" s="154" t="s">
        <v>496</v>
      </c>
      <c r="H17" s="200">
        <f>Variable_Management!B19*100</f>
        <v>80</v>
      </c>
      <c r="I17" s="155" t="s">
        <v>15</v>
      </c>
      <c r="J17" s="136"/>
      <c r="K17" s="136"/>
      <c r="L17" s="136"/>
      <c r="M17" s="136"/>
      <c r="N17" s="136"/>
      <c r="O17" s="136"/>
      <c r="P17" s="136"/>
      <c r="Q17" s="136"/>
      <c r="R17" s="136"/>
      <c r="S17" s="136"/>
      <c r="T17" s="136"/>
      <c r="U17" s="139"/>
      <c r="V17" s="136"/>
      <c r="W17" s="136"/>
      <c r="X17" s="136"/>
      <c r="Y17" s="136"/>
      <c r="Z17" s="136"/>
      <c r="AA17" s="122"/>
    </row>
    <row r="18" spans="1:27" x14ac:dyDescent="0.25">
      <c r="A18" s="149"/>
      <c r="B18" s="156"/>
      <c r="C18" s="156"/>
      <c r="D18" s="156"/>
      <c r="E18" s="149"/>
      <c r="F18" s="136"/>
      <c r="G18" s="137"/>
      <c r="H18" s="136"/>
      <c r="I18" s="136"/>
      <c r="J18" s="136"/>
      <c r="K18" s="136"/>
      <c r="L18" s="136"/>
      <c r="M18" s="136"/>
      <c r="N18" s="136"/>
      <c r="O18" s="136"/>
      <c r="P18" s="136"/>
      <c r="Q18" s="136"/>
      <c r="R18" s="136"/>
      <c r="S18" s="136"/>
      <c r="T18" s="136"/>
      <c r="U18" s="139"/>
      <c r="V18" s="136"/>
      <c r="W18" s="136"/>
      <c r="X18" s="136"/>
      <c r="Y18" s="136"/>
      <c r="Z18" s="136"/>
      <c r="AA18" s="122"/>
    </row>
    <row r="19" spans="1:27" ht="15.75" thickBot="1" x14ac:dyDescent="0.3">
      <c r="A19" s="157" t="s">
        <v>79</v>
      </c>
      <c r="B19" s="156"/>
      <c r="C19" s="156"/>
      <c r="D19" s="156"/>
      <c r="E19" s="149"/>
      <c r="F19" s="136"/>
      <c r="G19" s="137"/>
      <c r="H19" s="136"/>
      <c r="I19" s="136"/>
      <c r="J19" s="136"/>
      <c r="K19" s="136"/>
      <c r="L19" s="136"/>
      <c r="M19" s="136"/>
      <c r="N19" s="136"/>
      <c r="O19" s="136"/>
      <c r="P19" s="136"/>
      <c r="Q19" s="136"/>
      <c r="R19" s="136"/>
      <c r="S19" s="136"/>
      <c r="T19" s="136"/>
      <c r="U19" s="139"/>
      <c r="V19" s="136"/>
      <c r="W19" s="136"/>
      <c r="X19" s="136"/>
      <c r="Y19" s="136"/>
      <c r="Z19" s="136"/>
      <c r="AA19" s="122"/>
    </row>
    <row r="20" spans="1:27" x14ac:dyDescent="0.25">
      <c r="A20" s="158"/>
      <c r="B20" s="159"/>
      <c r="C20" s="159"/>
      <c r="D20" s="159"/>
      <c r="E20" s="159"/>
      <c r="F20" s="142"/>
      <c r="G20" s="143" t="s">
        <v>498</v>
      </c>
      <c r="H20" s="195">
        <v>60</v>
      </c>
      <c r="I20" s="144" t="s">
        <v>15</v>
      </c>
      <c r="J20" s="136"/>
      <c r="K20" s="136"/>
      <c r="L20" s="136"/>
      <c r="M20" s="136"/>
      <c r="N20" s="136"/>
      <c r="O20" s="136"/>
      <c r="P20" s="136"/>
      <c r="Q20" s="136"/>
      <c r="R20" s="136"/>
      <c r="S20" s="136"/>
      <c r="T20" s="136"/>
      <c r="U20" s="139"/>
      <c r="V20" s="136"/>
      <c r="W20" s="136"/>
      <c r="X20" s="136"/>
      <c r="Y20" s="136"/>
      <c r="Z20" s="136"/>
      <c r="AA20" s="122"/>
    </row>
    <row r="21" spans="1:27" x14ac:dyDescent="0.25">
      <c r="A21" s="145"/>
      <c r="B21" s="139"/>
      <c r="C21" s="139"/>
      <c r="D21" s="139"/>
      <c r="E21" s="139"/>
      <c r="F21" s="139"/>
      <c r="G21" s="146" t="s">
        <v>468</v>
      </c>
      <c r="H21" s="201">
        <f>Lopt_2*10^6</f>
        <v>0.98214285714285721</v>
      </c>
      <c r="I21" s="147" t="s">
        <v>106</v>
      </c>
      <c r="J21" s="136"/>
      <c r="K21" s="136"/>
      <c r="L21" s="136"/>
      <c r="M21" s="136"/>
      <c r="N21" s="136"/>
      <c r="O21" s="136"/>
      <c r="P21" s="136"/>
      <c r="Q21" s="136"/>
      <c r="R21" s="136"/>
      <c r="S21" s="136"/>
      <c r="T21" s="136"/>
      <c r="U21" s="139"/>
      <c r="V21" s="136"/>
      <c r="W21" s="136"/>
      <c r="X21" s="136"/>
      <c r="Y21" s="136"/>
      <c r="Z21" s="136"/>
      <c r="AA21" s="122"/>
    </row>
    <row r="22" spans="1:27" x14ac:dyDescent="0.25">
      <c r="A22" s="145"/>
      <c r="B22" s="139"/>
      <c r="C22" s="139"/>
      <c r="D22" s="139"/>
      <c r="E22" s="139"/>
      <c r="F22" s="139"/>
      <c r="G22" s="146" t="s">
        <v>469</v>
      </c>
      <c r="H22" s="196">
        <v>4.7</v>
      </c>
      <c r="I22" s="147" t="s">
        <v>106</v>
      </c>
      <c r="J22" s="136"/>
      <c r="K22" s="136"/>
      <c r="L22" s="136"/>
      <c r="M22" s="136"/>
      <c r="N22" s="136"/>
      <c r="O22" s="136"/>
      <c r="P22" s="136"/>
      <c r="Q22" s="136"/>
      <c r="R22" s="136"/>
      <c r="S22" s="136"/>
      <c r="T22" s="136"/>
      <c r="U22" s="139"/>
      <c r="V22" s="136"/>
      <c r="W22" s="136"/>
      <c r="X22" s="136"/>
      <c r="Y22" s="136"/>
      <c r="Z22" s="136"/>
      <c r="AA22" s="122"/>
    </row>
    <row r="23" spans="1:27" x14ac:dyDescent="0.25">
      <c r="A23" s="145"/>
      <c r="B23" s="139"/>
      <c r="C23" s="139"/>
      <c r="D23" s="139"/>
      <c r="E23" s="139"/>
      <c r="F23" s="139"/>
      <c r="G23" s="146" t="s">
        <v>83</v>
      </c>
      <c r="H23" s="196">
        <v>1.1100000000000001</v>
      </c>
      <c r="I23" s="147" t="s">
        <v>108</v>
      </c>
      <c r="J23" s="136"/>
      <c r="K23" s="136"/>
      <c r="L23" s="136"/>
      <c r="M23" s="136"/>
      <c r="N23" s="136"/>
      <c r="O23" s="136"/>
      <c r="P23" s="136"/>
      <c r="Q23" s="136"/>
      <c r="R23" s="136"/>
      <c r="S23" s="136"/>
      <c r="T23" s="136"/>
      <c r="U23" s="139"/>
      <c r="V23" s="136"/>
      <c r="W23" s="136"/>
      <c r="X23" s="136"/>
      <c r="Y23" s="136"/>
      <c r="Z23" s="136"/>
      <c r="AA23" s="122"/>
    </row>
    <row r="24" spans="1:27" ht="15.75" thickBot="1" x14ac:dyDescent="0.3">
      <c r="A24" s="160"/>
      <c r="B24" s="153"/>
      <c r="C24" s="153"/>
      <c r="D24" s="153"/>
      <c r="E24" s="153"/>
      <c r="F24" s="153"/>
      <c r="G24" s="161" t="s">
        <v>109</v>
      </c>
      <c r="H24" s="202">
        <f>ILp_VINmin</f>
        <v>60.418777440054036</v>
      </c>
      <c r="I24" s="155" t="s">
        <v>13</v>
      </c>
      <c r="J24" s="136"/>
      <c r="K24" s="136"/>
      <c r="L24" s="136"/>
      <c r="M24" s="136"/>
      <c r="N24" s="136"/>
      <c r="O24" s="136"/>
      <c r="P24" s="136"/>
      <c r="Q24" s="136"/>
      <c r="R24" s="136"/>
      <c r="S24" s="136"/>
      <c r="T24" s="136"/>
      <c r="U24" s="139"/>
      <c r="V24" s="136"/>
      <c r="W24" s="136"/>
      <c r="X24" s="136"/>
      <c r="Y24" s="136"/>
      <c r="Z24" s="136"/>
      <c r="AA24" s="122"/>
    </row>
    <row r="25" spans="1:27" x14ac:dyDescent="0.25">
      <c r="A25" s="136"/>
      <c r="B25" s="136"/>
      <c r="C25" s="136"/>
      <c r="D25" s="136"/>
      <c r="E25" s="136"/>
      <c r="F25" s="136"/>
      <c r="G25" s="137"/>
      <c r="H25" s="136"/>
      <c r="I25" s="136"/>
      <c r="J25" s="136"/>
      <c r="K25" s="136"/>
      <c r="L25" s="136"/>
      <c r="M25" s="136"/>
      <c r="N25" s="136"/>
      <c r="O25" s="136"/>
      <c r="P25" s="136"/>
      <c r="Q25" s="136"/>
      <c r="R25" s="136"/>
      <c r="S25" s="136"/>
      <c r="T25" s="136"/>
      <c r="U25" s="139"/>
      <c r="V25" s="136"/>
      <c r="W25" s="136"/>
      <c r="X25" s="136"/>
      <c r="Y25" s="136"/>
      <c r="Z25" s="136"/>
      <c r="AA25" s="122"/>
    </row>
    <row r="26" spans="1:27" ht="15.75" thickBot="1" x14ac:dyDescent="0.3">
      <c r="A26" s="157" t="s">
        <v>130</v>
      </c>
      <c r="B26" s="136"/>
      <c r="C26" s="136"/>
      <c r="D26" s="136"/>
      <c r="E26" s="136"/>
      <c r="F26" s="136"/>
      <c r="G26" s="137"/>
      <c r="H26" s="136"/>
      <c r="I26" s="136"/>
      <c r="J26" s="136"/>
      <c r="K26" s="136"/>
      <c r="L26" s="136"/>
      <c r="M26" s="136"/>
      <c r="N26" s="136"/>
      <c r="O26" s="136"/>
      <c r="P26" s="136"/>
      <c r="Q26" s="136"/>
      <c r="R26" s="136"/>
      <c r="S26" s="136"/>
      <c r="T26" s="136"/>
      <c r="U26" s="139"/>
      <c r="V26" s="136"/>
      <c r="W26" s="136"/>
      <c r="X26" s="136"/>
      <c r="Y26" s="136"/>
      <c r="Z26" s="136"/>
      <c r="AA26" s="122"/>
    </row>
    <row r="27" spans="1:27" x14ac:dyDescent="0.25">
      <c r="A27" s="141"/>
      <c r="B27" s="142"/>
      <c r="C27" s="142"/>
      <c r="D27" s="142"/>
      <c r="E27" s="142"/>
      <c r="F27" s="142"/>
      <c r="G27" s="143" t="s">
        <v>499</v>
      </c>
      <c r="H27" s="195">
        <v>20</v>
      </c>
      <c r="I27" s="144" t="s">
        <v>15</v>
      </c>
      <c r="J27" s="136"/>
      <c r="K27" s="136"/>
      <c r="L27" s="136"/>
      <c r="M27" s="136"/>
      <c r="N27" s="136"/>
      <c r="O27" s="136"/>
      <c r="P27" s="136"/>
      <c r="Q27" s="136"/>
      <c r="R27" s="136"/>
      <c r="S27" s="136"/>
      <c r="T27" s="136"/>
      <c r="U27" s="139"/>
      <c r="V27" s="136"/>
      <c r="W27" s="136"/>
      <c r="X27" s="136"/>
      <c r="Y27" s="136"/>
      <c r="Z27" s="136"/>
      <c r="AA27" s="122"/>
    </row>
    <row r="28" spans="1:27" ht="18" x14ac:dyDescent="0.35">
      <c r="A28" s="145"/>
      <c r="B28" s="139"/>
      <c r="C28" s="139"/>
      <c r="D28" s="139"/>
      <c r="E28" s="139"/>
      <c r="F28" s="139"/>
      <c r="G28" s="162" t="s">
        <v>208</v>
      </c>
      <c r="H28" s="197">
        <f>Ipk_selected</f>
        <v>72.502532928064838</v>
      </c>
      <c r="I28" s="147" t="s">
        <v>13</v>
      </c>
      <c r="J28" s="136"/>
      <c r="K28" s="136"/>
      <c r="L28" s="136"/>
      <c r="M28" s="136"/>
      <c r="N28" s="136"/>
      <c r="O28" s="136"/>
      <c r="P28" s="136"/>
      <c r="Q28" s="136"/>
      <c r="R28" s="136"/>
      <c r="S28" s="136"/>
      <c r="T28" s="136"/>
      <c r="U28" s="139"/>
      <c r="V28" s="136"/>
      <c r="W28" s="136"/>
      <c r="X28" s="136"/>
      <c r="Y28" s="136"/>
      <c r="Z28" s="136"/>
      <c r="AA28" s="122"/>
    </row>
    <row r="29" spans="1:27" ht="18" x14ac:dyDescent="0.35">
      <c r="A29" s="145"/>
      <c r="B29" s="139"/>
      <c r="C29" s="139"/>
      <c r="D29" s="139"/>
      <c r="E29" s="139"/>
      <c r="F29" s="139"/>
      <c r="G29" s="162" t="s">
        <v>505</v>
      </c>
      <c r="H29" s="197">
        <f>Variable_Management!B75*1000</f>
        <v>1.2581325617689323</v>
      </c>
      <c r="I29" s="147" t="s">
        <v>108</v>
      </c>
      <c r="J29" s="136"/>
      <c r="K29" s="136"/>
      <c r="L29" s="136"/>
      <c r="M29" s="136"/>
      <c r="N29" s="136"/>
      <c r="O29" s="136"/>
      <c r="P29" s="136"/>
      <c r="Q29" s="136"/>
      <c r="R29" s="136"/>
      <c r="S29" s="136"/>
      <c r="T29" s="136"/>
      <c r="U29" s="139"/>
      <c r="V29" s="136"/>
      <c r="W29" s="136"/>
      <c r="X29" s="136"/>
      <c r="Y29" s="136"/>
      <c r="Z29" s="136"/>
      <c r="AA29" s="122"/>
    </row>
    <row r="30" spans="1:27" ht="18" x14ac:dyDescent="0.35">
      <c r="A30" s="145"/>
      <c r="B30" s="139"/>
      <c r="C30" s="139"/>
      <c r="D30" s="139"/>
      <c r="E30" s="139"/>
      <c r="F30" s="139"/>
      <c r="G30" s="162" t="s">
        <v>169</v>
      </c>
      <c r="H30" s="203">
        <f>Variable_Management!B76</f>
        <v>365.92510468655934</v>
      </c>
      <c r="I30" s="163" t="s">
        <v>38</v>
      </c>
      <c r="J30" s="136"/>
      <c r="K30" s="136"/>
      <c r="L30" s="136"/>
      <c r="M30" s="136"/>
      <c r="N30" s="136"/>
      <c r="O30" s="136"/>
      <c r="P30" s="136"/>
      <c r="Q30" s="136"/>
      <c r="R30" s="136"/>
      <c r="S30" s="136"/>
      <c r="T30" s="136"/>
      <c r="U30" s="139"/>
      <c r="V30" s="136"/>
      <c r="W30" s="136"/>
      <c r="X30" s="136"/>
      <c r="Y30" s="136"/>
      <c r="Z30" s="136"/>
      <c r="AA30" s="122"/>
    </row>
    <row r="31" spans="1:27" ht="18" x14ac:dyDescent="0.35">
      <c r="A31" s="145"/>
      <c r="B31" s="139"/>
      <c r="C31" s="139"/>
      <c r="D31" s="139"/>
      <c r="E31" s="139"/>
      <c r="F31" s="139"/>
      <c r="G31" s="162" t="s">
        <v>506</v>
      </c>
      <c r="H31" s="196">
        <v>1.3</v>
      </c>
      <c r="I31" s="147" t="s">
        <v>108</v>
      </c>
      <c r="J31" s="136"/>
      <c r="K31" s="136"/>
      <c r="L31" s="136"/>
      <c r="M31" s="136"/>
      <c r="N31" s="136"/>
      <c r="O31" s="136"/>
      <c r="P31" s="136"/>
      <c r="Q31" s="136"/>
      <c r="R31" s="136"/>
      <c r="S31" s="136"/>
      <c r="T31" s="136"/>
      <c r="U31" s="139"/>
      <c r="V31" s="136"/>
      <c r="W31" s="136"/>
      <c r="X31" s="136"/>
      <c r="Y31" s="136"/>
      <c r="Z31" s="136"/>
      <c r="AA31" s="122"/>
    </row>
    <row r="32" spans="1:27" ht="18" x14ac:dyDescent="0.35">
      <c r="A32" s="145"/>
      <c r="B32" s="139"/>
      <c r="C32" s="139"/>
      <c r="D32" s="139"/>
      <c r="E32" s="139"/>
      <c r="F32" s="139"/>
      <c r="G32" s="162" t="s">
        <v>172</v>
      </c>
      <c r="H32" s="196">
        <v>360</v>
      </c>
      <c r="I32" s="163" t="s">
        <v>38</v>
      </c>
      <c r="J32" s="136"/>
      <c r="K32" s="136"/>
      <c r="L32" s="136"/>
      <c r="M32" s="136"/>
      <c r="N32" s="136"/>
      <c r="O32" s="136"/>
      <c r="P32" s="136"/>
      <c r="Q32" s="136"/>
      <c r="R32" s="136"/>
      <c r="S32" s="136"/>
      <c r="T32" s="136"/>
      <c r="U32" s="139"/>
      <c r="V32" s="136"/>
      <c r="W32" s="136"/>
      <c r="X32" s="136"/>
      <c r="Y32" s="136"/>
      <c r="Z32" s="136"/>
      <c r="AA32" s="122"/>
    </row>
    <row r="33" spans="1:27" x14ac:dyDescent="0.25">
      <c r="A33" s="145"/>
      <c r="B33" s="139"/>
      <c r="C33" s="139"/>
      <c r="D33" s="139"/>
      <c r="E33" s="139"/>
      <c r="F33" s="139"/>
      <c r="G33" s="162" t="s">
        <v>176</v>
      </c>
      <c r="H33" s="197">
        <f>IL_pk_max</f>
        <v>70.692307692307708</v>
      </c>
      <c r="I33" s="163" t="s">
        <v>13</v>
      </c>
      <c r="J33" s="136"/>
      <c r="K33" s="136"/>
      <c r="L33" s="136"/>
      <c r="M33" s="136"/>
      <c r="N33" s="136"/>
      <c r="O33" s="136"/>
      <c r="P33" s="136"/>
      <c r="Q33" s="136"/>
      <c r="R33" s="136"/>
      <c r="S33" s="136"/>
      <c r="T33" s="136"/>
      <c r="U33" s="139"/>
      <c r="V33" s="136"/>
      <c r="W33" s="136"/>
      <c r="X33" s="136"/>
      <c r="Y33" s="136"/>
      <c r="Z33" s="136"/>
      <c r="AA33" s="122"/>
    </row>
    <row r="34" spans="1:27" ht="15.75" thickBot="1" x14ac:dyDescent="0.3">
      <c r="A34" s="160"/>
      <c r="B34" s="153"/>
      <c r="C34" s="153"/>
      <c r="D34" s="153"/>
      <c r="E34" s="153"/>
      <c r="F34" s="153"/>
      <c r="G34" s="164" t="s">
        <v>196</v>
      </c>
      <c r="H34" s="204">
        <f>Variable_Management!B85</f>
        <v>81.296153846153857</v>
      </c>
      <c r="I34" s="165" t="s">
        <v>13</v>
      </c>
      <c r="J34" s="136"/>
      <c r="K34" s="136"/>
      <c r="L34" s="136"/>
      <c r="M34" s="136"/>
      <c r="N34" s="136"/>
      <c r="O34" s="136"/>
      <c r="P34" s="136"/>
      <c r="Q34" s="136"/>
      <c r="R34" s="136"/>
      <c r="S34" s="136"/>
      <c r="T34" s="136"/>
      <c r="U34" s="139"/>
      <c r="V34" s="136"/>
      <c r="W34" s="136"/>
      <c r="X34" s="136"/>
      <c r="Y34" s="136"/>
      <c r="Z34" s="136"/>
      <c r="AA34" s="122"/>
    </row>
    <row r="35" spans="1:27" x14ac:dyDescent="0.25">
      <c r="A35" s="136"/>
      <c r="B35" s="136"/>
      <c r="C35" s="136"/>
      <c r="D35" s="136"/>
      <c r="E35" s="136"/>
      <c r="F35" s="136"/>
      <c r="G35" s="137"/>
      <c r="H35" s="136"/>
      <c r="I35" s="136"/>
      <c r="J35" s="136"/>
      <c r="K35" s="136"/>
      <c r="L35" s="136"/>
      <c r="M35" s="136"/>
      <c r="N35" s="136"/>
      <c r="O35" s="136"/>
      <c r="P35" s="136"/>
      <c r="Q35" s="136"/>
      <c r="R35" s="136"/>
      <c r="S35" s="136"/>
      <c r="T35" s="136"/>
      <c r="U35" s="139"/>
      <c r="V35" s="136"/>
      <c r="W35" s="136"/>
      <c r="X35" s="136"/>
      <c r="Y35" s="136"/>
      <c r="Z35" s="136"/>
      <c r="AA35" s="122"/>
    </row>
    <row r="36" spans="1:27" ht="15.75" thickBot="1" x14ac:dyDescent="0.3">
      <c r="A36" s="157" t="s">
        <v>188</v>
      </c>
      <c r="B36" s="136"/>
      <c r="C36" s="136"/>
      <c r="D36" s="136"/>
      <c r="E36" s="136"/>
      <c r="F36" s="136"/>
      <c r="G36" s="137"/>
      <c r="H36" s="136"/>
      <c r="I36" s="136"/>
      <c r="J36" s="136"/>
      <c r="K36" s="136"/>
      <c r="L36" s="136"/>
      <c r="M36" s="136"/>
      <c r="N36" s="136"/>
      <c r="O36" s="136"/>
      <c r="P36" s="136"/>
      <c r="Q36" s="136"/>
      <c r="R36" s="136"/>
      <c r="S36" s="136"/>
      <c r="T36" s="136"/>
      <c r="U36" s="139"/>
      <c r="V36" s="136"/>
      <c r="W36" s="136"/>
      <c r="X36" s="136"/>
      <c r="Y36" s="136"/>
      <c r="Z36" s="136"/>
      <c r="AA36" s="122"/>
    </row>
    <row r="37" spans="1:27" ht="18" x14ac:dyDescent="0.35">
      <c r="A37" s="141"/>
      <c r="B37" s="142"/>
      <c r="C37" s="142"/>
      <c r="D37" s="142"/>
      <c r="E37" s="142"/>
      <c r="F37" s="142"/>
      <c r="G37" s="166" t="s">
        <v>189</v>
      </c>
      <c r="H37" s="195">
        <v>200</v>
      </c>
      <c r="I37" s="144" t="s">
        <v>190</v>
      </c>
      <c r="J37" s="136"/>
      <c r="K37" s="136"/>
      <c r="L37" s="136"/>
      <c r="M37" s="136"/>
      <c r="N37" s="136"/>
      <c r="O37" s="136"/>
      <c r="P37" s="136"/>
      <c r="Q37" s="136"/>
      <c r="R37" s="136"/>
      <c r="S37" s="136"/>
      <c r="T37" s="136"/>
      <c r="U37" s="139"/>
      <c r="V37" s="136"/>
      <c r="W37" s="136"/>
      <c r="X37" s="136"/>
      <c r="Y37" s="136"/>
      <c r="Z37" s="136"/>
      <c r="AA37" s="122"/>
    </row>
    <row r="38" spans="1:27" x14ac:dyDescent="0.25">
      <c r="A38" s="145"/>
      <c r="B38" s="139"/>
      <c r="C38" s="139"/>
      <c r="D38" s="139"/>
      <c r="E38" s="139"/>
      <c r="F38" s="139"/>
      <c r="G38" s="162" t="s">
        <v>191</v>
      </c>
      <c r="H38" s="203">
        <f>Cout_min*10^6</f>
        <v>114.28571428571428</v>
      </c>
      <c r="I38" s="147" t="s">
        <v>192</v>
      </c>
      <c r="J38" s="136"/>
      <c r="K38" s="136"/>
      <c r="L38" s="136"/>
      <c r="M38" s="136"/>
      <c r="N38" s="136"/>
      <c r="O38" s="136"/>
      <c r="P38" s="136"/>
      <c r="Q38" s="136"/>
      <c r="R38" s="136"/>
      <c r="S38" s="136"/>
      <c r="T38" s="136"/>
      <c r="U38" s="139"/>
      <c r="V38" s="136"/>
      <c r="W38" s="136"/>
      <c r="X38" s="136"/>
      <c r="Y38" s="136"/>
      <c r="Z38" s="136"/>
      <c r="AA38" s="122"/>
    </row>
    <row r="39" spans="1:27" ht="18" x14ac:dyDescent="0.35">
      <c r="A39" s="145"/>
      <c r="B39" s="139"/>
      <c r="C39" s="139"/>
      <c r="D39" s="139"/>
      <c r="E39" s="139"/>
      <c r="F39" s="139"/>
      <c r="G39" s="162" t="s">
        <v>200</v>
      </c>
      <c r="H39" s="197">
        <f>IRMS_COUT</f>
        <v>20.157056181217637</v>
      </c>
      <c r="I39" s="147" t="s">
        <v>13</v>
      </c>
      <c r="J39" s="136"/>
      <c r="K39" s="136"/>
      <c r="L39" s="136"/>
      <c r="M39" s="136"/>
      <c r="N39" s="136"/>
      <c r="O39" s="136"/>
      <c r="P39" s="136"/>
      <c r="Q39" s="136"/>
      <c r="R39" s="136"/>
      <c r="S39" s="136"/>
      <c r="T39" s="136"/>
      <c r="U39" s="139"/>
      <c r="V39" s="136"/>
      <c r="W39" s="136"/>
      <c r="X39" s="136"/>
      <c r="Y39" s="136"/>
      <c r="Z39" s="136"/>
      <c r="AA39" s="122"/>
    </row>
    <row r="40" spans="1:27" ht="18" x14ac:dyDescent="0.35">
      <c r="A40" s="145"/>
      <c r="B40" s="139"/>
      <c r="C40" s="139"/>
      <c r="D40" s="139"/>
      <c r="E40" s="139"/>
      <c r="F40" s="139"/>
      <c r="G40" s="162" t="s">
        <v>193</v>
      </c>
      <c r="H40" s="196">
        <v>205</v>
      </c>
      <c r="I40" s="147" t="s">
        <v>192</v>
      </c>
      <c r="J40" s="136"/>
      <c r="K40" s="136"/>
      <c r="L40" s="136"/>
      <c r="M40" s="136"/>
      <c r="N40" s="136"/>
      <c r="O40" s="136"/>
      <c r="P40" s="136"/>
      <c r="Q40" s="136"/>
      <c r="R40" s="136"/>
      <c r="S40" s="136"/>
      <c r="T40" s="136"/>
      <c r="U40" s="139"/>
      <c r="V40" s="136"/>
      <c r="W40" s="136"/>
      <c r="X40" s="136"/>
      <c r="Y40" s="136"/>
      <c r="Z40" s="136"/>
      <c r="AA40" s="122"/>
    </row>
    <row r="41" spans="1:27" ht="18.75" thickBot="1" x14ac:dyDescent="0.4">
      <c r="A41" s="160"/>
      <c r="B41" s="153"/>
      <c r="C41" s="153"/>
      <c r="D41" s="153"/>
      <c r="E41" s="153"/>
      <c r="F41" s="153"/>
      <c r="G41" s="164" t="s">
        <v>203</v>
      </c>
      <c r="H41" s="205">
        <v>1</v>
      </c>
      <c r="I41" s="155" t="s">
        <v>108</v>
      </c>
      <c r="J41" s="136"/>
      <c r="K41" s="136"/>
      <c r="L41" s="136"/>
      <c r="M41" s="136"/>
      <c r="N41" s="136"/>
      <c r="O41" s="136"/>
      <c r="P41" s="136"/>
      <c r="Q41" s="136"/>
      <c r="R41" s="136"/>
      <c r="S41" s="136"/>
      <c r="T41" s="136"/>
      <c r="U41" s="139"/>
      <c r="V41" s="136"/>
      <c r="W41" s="136"/>
      <c r="X41" s="136"/>
      <c r="Y41" s="136"/>
      <c r="Z41" s="136"/>
      <c r="AA41" s="122"/>
    </row>
    <row r="42" spans="1:27" x14ac:dyDescent="0.25">
      <c r="A42" s="136"/>
      <c r="B42" s="136"/>
      <c r="C42" s="136"/>
      <c r="D42" s="136"/>
      <c r="E42" s="136"/>
      <c r="F42" s="136"/>
      <c r="G42" s="137"/>
      <c r="H42" s="136"/>
      <c r="I42" s="136"/>
      <c r="J42" s="136"/>
      <c r="K42" s="136"/>
      <c r="L42" s="136"/>
      <c r="M42" s="136"/>
      <c r="N42" s="136"/>
      <c r="O42" s="136"/>
      <c r="P42" s="136"/>
      <c r="Q42" s="136"/>
      <c r="R42" s="136"/>
      <c r="S42" s="136"/>
      <c r="T42" s="136"/>
      <c r="U42" s="139"/>
      <c r="V42" s="136"/>
      <c r="W42" s="136"/>
      <c r="X42" s="136"/>
      <c r="Y42" s="136"/>
      <c r="Z42" s="136"/>
      <c r="AA42" s="122"/>
    </row>
    <row r="43" spans="1:27" ht="15.75" thickBot="1" x14ac:dyDescent="0.3">
      <c r="A43" s="157" t="s">
        <v>327</v>
      </c>
      <c r="B43" s="136"/>
      <c r="C43" s="136"/>
      <c r="D43" s="136"/>
      <c r="E43" s="136"/>
      <c r="F43" s="136"/>
      <c r="G43" s="137"/>
      <c r="H43" s="136"/>
      <c r="I43" s="136"/>
      <c r="J43" s="136"/>
      <c r="K43" s="136"/>
      <c r="L43" s="136"/>
      <c r="M43" s="136"/>
      <c r="N43" s="136"/>
      <c r="O43" s="136"/>
      <c r="P43" s="136"/>
      <c r="Q43" s="136"/>
      <c r="R43" s="136"/>
      <c r="S43" s="136"/>
      <c r="T43" s="136"/>
      <c r="U43" s="139"/>
      <c r="V43" s="136"/>
      <c r="W43" s="136"/>
      <c r="X43" s="136"/>
      <c r="Y43" s="136"/>
      <c r="Z43" s="136"/>
      <c r="AA43" s="122"/>
    </row>
    <row r="44" spans="1:27" ht="18" x14ac:dyDescent="0.35">
      <c r="A44" s="141"/>
      <c r="B44" s="142"/>
      <c r="C44" s="142"/>
      <c r="D44" s="142"/>
      <c r="E44" s="142"/>
      <c r="F44" s="142"/>
      <c r="G44" s="166" t="s">
        <v>350</v>
      </c>
      <c r="H44" s="208">
        <f>Variable_Management!B101*(10^9)</f>
        <v>20.5</v>
      </c>
      <c r="I44" s="144" t="s">
        <v>224</v>
      </c>
      <c r="J44" s="136"/>
      <c r="K44" s="136"/>
      <c r="L44" s="136"/>
      <c r="M44" s="136"/>
      <c r="N44" s="136"/>
      <c r="O44" s="136"/>
      <c r="P44" s="136"/>
      <c r="Q44" s="136"/>
      <c r="R44" s="136"/>
      <c r="S44" s="136"/>
      <c r="T44" s="136"/>
      <c r="U44" s="139"/>
      <c r="V44" s="136"/>
      <c r="W44" s="136"/>
      <c r="X44" s="136"/>
      <c r="Y44" s="136"/>
      <c r="Z44" s="136"/>
      <c r="AA44" s="122"/>
    </row>
    <row r="45" spans="1:27" ht="18" x14ac:dyDescent="0.35">
      <c r="A45" s="145"/>
      <c r="B45" s="139"/>
      <c r="C45" s="139"/>
      <c r="D45" s="139"/>
      <c r="E45" s="139"/>
      <c r="F45" s="139"/>
      <c r="G45" s="162" t="s">
        <v>355</v>
      </c>
      <c r="H45" s="196">
        <v>20</v>
      </c>
      <c r="I45" s="147" t="s">
        <v>351</v>
      </c>
      <c r="J45" s="136"/>
      <c r="K45" s="136"/>
      <c r="L45" s="136"/>
      <c r="M45" s="136"/>
      <c r="N45" s="136"/>
      <c r="O45" s="136"/>
      <c r="P45" s="136"/>
      <c r="Q45" s="136"/>
      <c r="R45" s="136"/>
      <c r="S45" s="136"/>
      <c r="T45" s="136"/>
      <c r="U45" s="139"/>
      <c r="V45" s="136"/>
      <c r="W45" s="136"/>
      <c r="X45" s="136"/>
      <c r="Y45" s="136"/>
      <c r="Z45" s="136"/>
      <c r="AA45" s="122"/>
    </row>
    <row r="46" spans="1:27" ht="18.75" thickBot="1" x14ac:dyDescent="0.4">
      <c r="A46" s="160"/>
      <c r="B46" s="153"/>
      <c r="C46" s="153"/>
      <c r="D46" s="153"/>
      <c r="E46" s="153"/>
      <c r="F46" s="153"/>
      <c r="G46" s="164" t="s">
        <v>354</v>
      </c>
      <c r="H46" s="209">
        <f>Variable_Management!B103*(10^9)</f>
        <v>250</v>
      </c>
      <c r="I46" s="155" t="s">
        <v>224</v>
      </c>
      <c r="J46" s="136"/>
      <c r="K46" s="136"/>
      <c r="L46" s="136"/>
      <c r="M46" s="136"/>
      <c r="N46" s="136"/>
      <c r="O46" s="136"/>
      <c r="P46" s="136"/>
      <c r="Q46" s="136"/>
      <c r="R46" s="136"/>
      <c r="S46" s="136"/>
      <c r="T46" s="136"/>
      <c r="U46" s="139"/>
      <c r="V46" s="136"/>
      <c r="W46" s="136"/>
      <c r="X46" s="136"/>
      <c r="Y46" s="136"/>
      <c r="Z46" s="136"/>
      <c r="AA46" s="122"/>
    </row>
    <row r="47" spans="1:27" x14ac:dyDescent="0.25">
      <c r="A47" s="136"/>
      <c r="B47" s="136"/>
      <c r="C47" s="136"/>
      <c r="D47" s="136"/>
      <c r="E47" s="136"/>
      <c r="F47" s="136"/>
      <c r="G47" s="137"/>
      <c r="H47" s="136"/>
      <c r="I47" s="136"/>
      <c r="J47" s="136"/>
      <c r="K47" s="136"/>
      <c r="L47" s="136"/>
      <c r="M47" s="136"/>
      <c r="N47" s="136"/>
      <c r="O47" s="136"/>
      <c r="P47" s="136"/>
      <c r="Q47" s="136"/>
      <c r="R47" s="136"/>
      <c r="S47" s="136"/>
      <c r="T47" s="136"/>
      <c r="U47" s="139"/>
      <c r="V47" s="136"/>
      <c r="W47" s="136"/>
      <c r="X47" s="136"/>
      <c r="Y47" s="136"/>
      <c r="Z47" s="136"/>
      <c r="AA47" s="122"/>
    </row>
    <row r="48" spans="1:27" ht="15.75" thickBot="1" x14ac:dyDescent="0.3">
      <c r="A48" s="157" t="s">
        <v>328</v>
      </c>
      <c r="B48" s="136"/>
      <c r="C48" s="136"/>
      <c r="D48" s="136"/>
      <c r="E48" s="136"/>
      <c r="F48" s="136"/>
      <c r="G48" s="137"/>
      <c r="H48" s="136"/>
      <c r="I48" s="136"/>
      <c r="J48" s="136"/>
      <c r="K48" s="136"/>
      <c r="L48" s="136"/>
      <c r="M48" s="136"/>
      <c r="N48" s="136"/>
      <c r="O48" s="136"/>
      <c r="P48" s="136"/>
      <c r="Q48" s="136"/>
      <c r="R48" s="136"/>
      <c r="S48" s="136"/>
      <c r="T48" s="136"/>
      <c r="U48" s="139"/>
      <c r="V48" s="136"/>
      <c r="W48" s="136"/>
      <c r="X48" s="136"/>
      <c r="Y48" s="136"/>
      <c r="Z48" s="136"/>
      <c r="AA48" s="122"/>
    </row>
    <row r="49" spans="1:27" ht="18" x14ac:dyDescent="0.35">
      <c r="A49" s="141"/>
      <c r="B49" s="142"/>
      <c r="C49" s="142"/>
      <c r="D49" s="142"/>
      <c r="E49" s="142"/>
      <c r="F49" s="142"/>
      <c r="G49" s="166" t="s">
        <v>357</v>
      </c>
      <c r="H49" s="195">
        <v>20</v>
      </c>
      <c r="I49" s="144" t="s">
        <v>12</v>
      </c>
      <c r="J49" s="136"/>
      <c r="K49" s="136"/>
      <c r="L49" s="136"/>
      <c r="M49" s="136"/>
      <c r="N49" s="136"/>
      <c r="O49" s="136"/>
      <c r="P49" s="136"/>
      <c r="Q49" s="136"/>
      <c r="R49" s="136"/>
      <c r="S49" s="136"/>
      <c r="T49" s="136"/>
      <c r="U49" s="139"/>
      <c r="V49" s="136"/>
      <c r="W49" s="136"/>
      <c r="X49" s="136"/>
      <c r="Y49" s="136"/>
      <c r="Z49" s="136"/>
      <c r="AA49" s="122"/>
    </row>
    <row r="50" spans="1:27" ht="18" x14ac:dyDescent="0.35">
      <c r="A50" s="145"/>
      <c r="B50" s="139"/>
      <c r="C50" s="139"/>
      <c r="D50" s="139"/>
      <c r="E50" s="139"/>
      <c r="F50" s="139"/>
      <c r="G50" s="162" t="s">
        <v>356</v>
      </c>
      <c r="H50" s="196">
        <v>19</v>
      </c>
      <c r="I50" s="147" t="s">
        <v>12</v>
      </c>
      <c r="J50" s="136"/>
      <c r="K50" s="136"/>
      <c r="L50" s="136"/>
      <c r="M50" s="136"/>
      <c r="N50" s="136"/>
      <c r="O50" s="136"/>
      <c r="P50" s="136"/>
      <c r="Q50" s="194">
        <f>VIN_min</f>
        <v>20</v>
      </c>
      <c r="R50" s="136"/>
      <c r="S50" s="136"/>
      <c r="T50" s="136"/>
      <c r="U50" s="139"/>
      <c r="V50" s="136"/>
      <c r="W50" s="136"/>
      <c r="X50" s="136"/>
      <c r="Y50" s="136"/>
      <c r="Z50" s="136"/>
      <c r="AA50" s="122"/>
    </row>
    <row r="51" spans="1:27" ht="18" x14ac:dyDescent="0.35">
      <c r="A51" s="145"/>
      <c r="B51" s="139"/>
      <c r="C51" s="139"/>
      <c r="D51" s="139"/>
      <c r="E51" s="139"/>
      <c r="F51" s="139"/>
      <c r="G51" s="162" t="s">
        <v>473</v>
      </c>
      <c r="H51" s="206">
        <f>Ruvlo_top_calc/1000</f>
        <v>67.999999999999972</v>
      </c>
      <c r="I51" s="163" t="s">
        <v>221</v>
      </c>
      <c r="J51" s="136"/>
      <c r="K51" s="136"/>
      <c r="L51" s="136"/>
      <c r="M51" s="136"/>
      <c r="N51" s="136"/>
      <c r="O51" s="136"/>
      <c r="P51" s="136"/>
      <c r="Q51" s="136"/>
      <c r="R51" s="136"/>
      <c r="S51" s="136"/>
      <c r="T51" s="136"/>
      <c r="U51" s="139"/>
      <c r="V51" s="136"/>
      <c r="W51" s="136"/>
      <c r="X51" s="136"/>
      <c r="Y51" s="136"/>
      <c r="Z51" s="136"/>
      <c r="AA51" s="122"/>
    </row>
    <row r="52" spans="1:27" ht="18" x14ac:dyDescent="0.35">
      <c r="A52" s="145"/>
      <c r="B52" s="139"/>
      <c r="C52" s="139"/>
      <c r="D52" s="139"/>
      <c r="E52" s="139"/>
      <c r="F52" s="139"/>
      <c r="G52" s="162" t="s">
        <v>474</v>
      </c>
      <c r="H52" s="196">
        <v>68</v>
      </c>
      <c r="I52" s="163" t="s">
        <v>221</v>
      </c>
      <c r="J52" s="136"/>
      <c r="K52" s="136"/>
      <c r="L52" s="136"/>
      <c r="M52" s="136"/>
      <c r="N52" s="136"/>
      <c r="O52" s="136"/>
      <c r="P52" s="136"/>
      <c r="Q52" s="136"/>
      <c r="R52" s="136"/>
      <c r="S52" s="136"/>
      <c r="T52" s="136"/>
      <c r="U52" s="139"/>
      <c r="V52" s="136"/>
      <c r="W52" s="136"/>
      <c r="X52" s="136"/>
      <c r="Y52" s="136"/>
      <c r="Z52" s="136"/>
      <c r="AA52" s="122"/>
    </row>
    <row r="53" spans="1:27" ht="18.75" thickBot="1" x14ac:dyDescent="0.4">
      <c r="A53" s="160"/>
      <c r="B53" s="153"/>
      <c r="C53" s="153"/>
      <c r="D53" s="153"/>
      <c r="E53" s="153"/>
      <c r="F53" s="153"/>
      <c r="G53" s="164" t="s">
        <v>475</v>
      </c>
      <c r="H53" s="207">
        <f>Ruvlo_bottom_calc/1000</f>
        <v>5.5135135135135132</v>
      </c>
      <c r="I53" s="165" t="s">
        <v>221</v>
      </c>
      <c r="J53" s="136"/>
      <c r="K53" s="136"/>
      <c r="L53" s="136"/>
      <c r="M53" s="136"/>
      <c r="N53" s="136"/>
      <c r="O53" s="136"/>
      <c r="P53" s="136"/>
      <c r="Q53" s="136"/>
      <c r="R53" s="136"/>
      <c r="S53" s="136"/>
      <c r="T53" s="136"/>
      <c r="U53" s="139"/>
      <c r="V53" s="136"/>
      <c r="W53" s="136"/>
      <c r="X53" s="136"/>
      <c r="Y53" s="136"/>
      <c r="Z53" s="136"/>
      <c r="AA53" s="122"/>
    </row>
    <row r="54" spans="1:27" x14ac:dyDescent="0.25">
      <c r="A54" s="136"/>
      <c r="B54" s="136"/>
      <c r="C54" s="136"/>
      <c r="D54" s="136"/>
      <c r="E54" s="136"/>
      <c r="F54" s="136"/>
      <c r="G54" s="137"/>
      <c r="H54" s="136"/>
      <c r="I54" s="136"/>
      <c r="J54" s="136"/>
      <c r="K54" s="136"/>
      <c r="L54" s="136"/>
      <c r="M54" s="136"/>
      <c r="N54" s="136"/>
      <c r="O54" s="136"/>
      <c r="P54" s="136"/>
      <c r="Q54" s="136"/>
      <c r="R54" s="136"/>
      <c r="S54" s="136"/>
      <c r="T54" s="136"/>
      <c r="U54" s="139"/>
      <c r="V54" s="136"/>
      <c r="W54" s="136"/>
      <c r="X54" s="136"/>
      <c r="Y54" s="136"/>
      <c r="Z54" s="136"/>
      <c r="AA54" s="122"/>
    </row>
    <row r="55" spans="1:27" ht="15.75" thickBot="1" x14ac:dyDescent="0.3">
      <c r="A55" s="157" t="s">
        <v>380</v>
      </c>
      <c r="B55" s="136"/>
      <c r="C55" s="136"/>
      <c r="D55" s="136"/>
      <c r="E55" s="136"/>
      <c r="F55" s="136"/>
      <c r="G55" s="136"/>
      <c r="H55" s="136"/>
      <c r="I55" s="136"/>
      <c r="J55" s="136"/>
      <c r="K55" s="136"/>
      <c r="L55" s="136"/>
      <c r="M55" s="136"/>
      <c r="N55" s="136"/>
      <c r="O55" s="136"/>
      <c r="P55" s="136"/>
      <c r="Q55" s="136"/>
      <c r="R55" s="136"/>
      <c r="S55" s="136"/>
      <c r="T55" s="136"/>
      <c r="U55" s="139"/>
      <c r="V55" s="136"/>
      <c r="W55" s="136"/>
      <c r="X55" s="136"/>
      <c r="Y55" s="136"/>
      <c r="Z55" s="136"/>
      <c r="AA55" s="122"/>
    </row>
    <row r="56" spans="1:27" ht="18" x14ac:dyDescent="0.35">
      <c r="A56" s="167"/>
      <c r="B56" s="142"/>
      <c r="C56" s="142"/>
      <c r="D56" s="142"/>
      <c r="E56" s="142"/>
      <c r="F56" s="142"/>
      <c r="G56" s="168" t="s">
        <v>500</v>
      </c>
      <c r="H56" s="210" t="str">
        <f>VIN_nom&amp;"V"</f>
        <v>22V</v>
      </c>
      <c r="I56" s="144"/>
      <c r="J56" s="136"/>
      <c r="K56" s="136"/>
      <c r="L56" s="136"/>
      <c r="M56" s="136"/>
      <c r="N56" s="136"/>
      <c r="O56" s="136"/>
      <c r="P56" s="136"/>
      <c r="Q56" s="136"/>
      <c r="R56" s="136"/>
      <c r="S56" s="136"/>
      <c r="T56" s="136"/>
      <c r="U56" s="139"/>
      <c r="V56" s="136"/>
      <c r="W56" s="136"/>
      <c r="X56" s="136"/>
      <c r="Y56" s="136"/>
      <c r="Z56" s="136"/>
      <c r="AA56" s="122"/>
    </row>
    <row r="57" spans="1:27" x14ac:dyDescent="0.25">
      <c r="A57" s="145"/>
      <c r="B57" s="139"/>
      <c r="C57" s="139"/>
      <c r="D57" s="139"/>
      <c r="E57" s="139"/>
      <c r="F57" s="139"/>
      <c r="G57" s="139"/>
      <c r="H57" s="211"/>
      <c r="I57" s="147"/>
      <c r="J57" s="136"/>
      <c r="K57" s="136"/>
      <c r="L57" s="136"/>
      <c r="M57" s="136"/>
      <c r="N57" s="136"/>
      <c r="O57" s="136"/>
      <c r="P57" s="136"/>
      <c r="Q57" s="136"/>
      <c r="R57" s="136"/>
      <c r="S57" s="136"/>
      <c r="T57" s="136"/>
      <c r="U57" s="139"/>
      <c r="V57" s="136"/>
      <c r="W57" s="136"/>
      <c r="X57" s="136"/>
      <c r="Y57" s="136"/>
      <c r="Z57" s="136"/>
      <c r="AA57" s="122"/>
    </row>
    <row r="58" spans="1:27" x14ac:dyDescent="0.25">
      <c r="A58" s="169"/>
      <c r="B58" s="139"/>
      <c r="C58" s="139"/>
      <c r="D58" s="139"/>
      <c r="E58" s="139"/>
      <c r="F58" s="139"/>
      <c r="G58" s="170" t="s">
        <v>222</v>
      </c>
      <c r="H58" s="198"/>
      <c r="I58" s="147"/>
      <c r="J58" s="136"/>
      <c r="K58" s="136"/>
      <c r="L58" s="136"/>
      <c r="M58" s="136"/>
      <c r="N58" s="136"/>
      <c r="O58" s="136"/>
      <c r="P58" s="136"/>
      <c r="Q58" s="136"/>
      <c r="R58" s="136"/>
      <c r="S58" s="136"/>
      <c r="T58" s="136"/>
      <c r="U58" s="139"/>
      <c r="V58" s="136"/>
      <c r="W58" s="136"/>
      <c r="X58" s="136"/>
      <c r="Y58" s="136"/>
      <c r="Z58" s="136"/>
      <c r="AA58" s="122"/>
    </row>
    <row r="59" spans="1:27" ht="18" x14ac:dyDescent="0.35">
      <c r="A59" s="169"/>
      <c r="B59" s="139"/>
      <c r="C59" s="139"/>
      <c r="D59" s="139"/>
      <c r="E59" s="139"/>
      <c r="F59" s="139"/>
      <c r="G59" s="162" t="s">
        <v>325</v>
      </c>
      <c r="H59" s="196">
        <v>49.9</v>
      </c>
      <c r="I59" s="163" t="s">
        <v>221</v>
      </c>
      <c r="J59" s="136"/>
      <c r="K59" s="136"/>
      <c r="L59" s="136"/>
      <c r="M59" s="136"/>
      <c r="N59" s="136"/>
      <c r="O59" s="136"/>
      <c r="P59" s="136"/>
      <c r="Q59" s="136"/>
      <c r="R59" s="136"/>
      <c r="S59" s="136"/>
      <c r="T59" s="136"/>
      <c r="U59" s="139"/>
      <c r="V59" s="136"/>
      <c r="W59" s="136"/>
      <c r="X59" s="136"/>
      <c r="Y59" s="136"/>
      <c r="Z59" s="136"/>
      <c r="AA59" s="122"/>
    </row>
    <row r="60" spans="1:27" ht="18" x14ac:dyDescent="0.35">
      <c r="A60" s="169"/>
      <c r="B60" s="139"/>
      <c r="C60" s="139"/>
      <c r="D60" s="139"/>
      <c r="E60" s="139"/>
      <c r="F60" s="139"/>
      <c r="G60" s="162" t="s">
        <v>301</v>
      </c>
      <c r="H60" s="206">
        <f>RFBB_calc/1000</f>
        <v>0.50404040404040407</v>
      </c>
      <c r="I60" s="163" t="s">
        <v>221</v>
      </c>
      <c r="J60" s="136"/>
      <c r="K60" s="136"/>
      <c r="L60" s="136"/>
      <c r="M60" s="136"/>
      <c r="N60" s="136"/>
      <c r="O60" s="136"/>
      <c r="P60" s="136"/>
      <c r="Q60" s="136"/>
      <c r="R60" s="136"/>
      <c r="S60" s="136"/>
      <c r="T60" s="136"/>
      <c r="U60" s="139"/>
      <c r="V60" s="136"/>
      <c r="W60" s="136"/>
      <c r="X60" s="136"/>
      <c r="Y60" s="136"/>
      <c r="Z60" s="136"/>
      <c r="AA60" s="122"/>
    </row>
    <row r="61" spans="1:27" ht="18" x14ac:dyDescent="0.35">
      <c r="A61" s="169"/>
      <c r="B61" s="139"/>
      <c r="C61" s="139"/>
      <c r="D61" s="139"/>
      <c r="E61" s="139"/>
      <c r="F61" s="139"/>
      <c r="G61" s="162" t="s">
        <v>326</v>
      </c>
      <c r="H61" s="196">
        <v>0.5</v>
      </c>
      <c r="I61" s="163" t="s">
        <v>221</v>
      </c>
      <c r="J61" s="136"/>
      <c r="K61" s="136"/>
      <c r="L61" s="136"/>
      <c r="M61" s="136"/>
      <c r="N61" s="136"/>
      <c r="O61" s="136"/>
      <c r="P61" s="136"/>
      <c r="Q61" s="136"/>
      <c r="R61" s="136"/>
      <c r="S61" s="136"/>
      <c r="T61" s="136"/>
      <c r="U61" s="139"/>
      <c r="V61" s="136"/>
      <c r="W61" s="136"/>
      <c r="X61" s="136"/>
      <c r="Y61" s="136"/>
      <c r="Z61" s="136"/>
      <c r="AA61" s="122"/>
    </row>
    <row r="62" spans="1:27" x14ac:dyDescent="0.25">
      <c r="A62" s="145"/>
      <c r="B62" s="139"/>
      <c r="C62" s="139"/>
      <c r="D62" s="139"/>
      <c r="E62" s="139"/>
      <c r="F62" s="139"/>
      <c r="G62" s="162"/>
      <c r="H62" s="198"/>
      <c r="I62" s="147"/>
      <c r="J62" s="136"/>
      <c r="K62" s="136"/>
      <c r="L62" s="136"/>
      <c r="M62" s="136"/>
      <c r="N62" s="136"/>
      <c r="O62" s="136"/>
      <c r="P62" s="136"/>
      <c r="Q62" s="136"/>
      <c r="R62" s="136"/>
      <c r="S62" s="136"/>
      <c r="T62" s="136"/>
      <c r="U62" s="139"/>
      <c r="V62" s="136"/>
      <c r="W62" s="136"/>
      <c r="X62" s="136"/>
      <c r="Y62" s="136"/>
      <c r="Z62" s="136"/>
      <c r="AA62" s="122"/>
    </row>
    <row r="63" spans="1:27" x14ac:dyDescent="0.25">
      <c r="A63" s="145"/>
      <c r="B63" s="139"/>
      <c r="C63" s="139"/>
      <c r="D63" s="139"/>
      <c r="E63" s="139"/>
      <c r="F63" s="139"/>
      <c r="G63" s="162"/>
      <c r="H63" s="198"/>
      <c r="I63" s="147"/>
      <c r="J63" s="136"/>
      <c r="K63" s="136"/>
      <c r="L63" s="136"/>
      <c r="M63" s="136"/>
      <c r="N63" s="136"/>
      <c r="O63" s="136"/>
      <c r="P63" s="136"/>
      <c r="Q63" s="136"/>
      <c r="R63" s="136"/>
      <c r="S63" s="136"/>
      <c r="T63" s="136"/>
      <c r="U63" s="139"/>
      <c r="V63" s="136"/>
      <c r="W63" s="136"/>
      <c r="X63" s="136"/>
      <c r="Y63" s="136"/>
      <c r="Z63" s="136"/>
      <c r="AA63" s="122"/>
    </row>
    <row r="64" spans="1:27" x14ac:dyDescent="0.25">
      <c r="A64" s="145"/>
      <c r="B64" s="139"/>
      <c r="C64" s="139"/>
      <c r="D64" s="139"/>
      <c r="E64" s="139"/>
      <c r="F64" s="139"/>
      <c r="G64" s="162" t="s">
        <v>219</v>
      </c>
      <c r="H64" s="212">
        <f>fcross_est/1000</f>
        <v>2.7090203079471551</v>
      </c>
      <c r="I64" s="147" t="s">
        <v>14</v>
      </c>
      <c r="J64" s="136"/>
      <c r="K64" s="136"/>
      <c r="L64" s="136"/>
      <c r="M64" s="136"/>
      <c r="N64" s="136"/>
      <c r="O64" s="136"/>
      <c r="P64" s="136"/>
      <c r="Q64" s="136"/>
      <c r="R64" s="136"/>
      <c r="S64" s="136"/>
      <c r="T64" s="136"/>
      <c r="U64" s="139"/>
      <c r="V64" s="136"/>
      <c r="W64" s="136"/>
      <c r="X64" s="136"/>
      <c r="Y64" s="136"/>
      <c r="Z64" s="136"/>
      <c r="AA64" s="122"/>
    </row>
    <row r="65" spans="1:27" ht="18" x14ac:dyDescent="0.35">
      <c r="A65" s="145"/>
      <c r="B65" s="139"/>
      <c r="C65" s="139"/>
      <c r="D65" s="139"/>
      <c r="E65" s="139"/>
      <c r="F65" s="139"/>
      <c r="G65" s="162" t="s">
        <v>472</v>
      </c>
      <c r="H65" s="196">
        <v>2.7</v>
      </c>
      <c r="I65" s="147" t="s">
        <v>14</v>
      </c>
      <c r="J65" s="136"/>
      <c r="K65" s="136"/>
      <c r="L65" s="136"/>
      <c r="M65" s="136"/>
      <c r="N65" s="136"/>
      <c r="O65" s="136"/>
      <c r="P65" s="136"/>
      <c r="Q65" s="136"/>
      <c r="R65" s="136"/>
      <c r="S65" s="136"/>
      <c r="T65" s="136"/>
      <c r="U65" s="139"/>
      <c r="V65" s="136"/>
      <c r="W65" s="136"/>
      <c r="X65" s="136"/>
      <c r="Y65" s="136"/>
      <c r="Z65" s="136"/>
      <c r="AA65" s="122"/>
    </row>
    <row r="66" spans="1:27" x14ac:dyDescent="0.25">
      <c r="A66" s="145"/>
      <c r="B66" s="139"/>
      <c r="C66" s="139"/>
      <c r="D66" s="139"/>
      <c r="E66" s="139"/>
      <c r="F66" s="139"/>
      <c r="G66" s="162"/>
      <c r="H66" s="198"/>
      <c r="I66" s="147"/>
      <c r="J66" s="136"/>
      <c r="K66" s="136"/>
      <c r="L66" s="136"/>
      <c r="M66" s="136"/>
      <c r="N66" s="136"/>
      <c r="O66" s="136"/>
      <c r="P66" s="136"/>
      <c r="Q66" s="136"/>
      <c r="R66" s="136"/>
      <c r="S66" s="136"/>
      <c r="T66" s="136"/>
      <c r="U66" s="139"/>
      <c r="V66" s="136"/>
      <c r="W66" s="136"/>
      <c r="X66" s="136"/>
      <c r="Y66" s="136"/>
      <c r="Z66" s="136"/>
      <c r="AA66" s="122"/>
    </row>
    <row r="67" spans="1:27" ht="15.75" thickBot="1" x14ac:dyDescent="0.3">
      <c r="A67" s="145"/>
      <c r="B67" s="139"/>
      <c r="C67" s="139"/>
      <c r="D67" s="139"/>
      <c r="E67" s="139"/>
      <c r="F67" s="172" t="s">
        <v>331</v>
      </c>
      <c r="G67" s="172"/>
      <c r="H67" s="213" t="s">
        <v>332</v>
      </c>
      <c r="I67" s="173"/>
      <c r="J67" s="136"/>
      <c r="K67" s="136"/>
      <c r="L67" s="136"/>
      <c r="M67" s="136"/>
      <c r="N67" s="136"/>
      <c r="O67" s="136"/>
      <c r="P67" s="136"/>
      <c r="Q67" s="136"/>
      <c r="R67" s="136"/>
      <c r="S67" s="136"/>
      <c r="T67" s="136"/>
      <c r="U67" s="139"/>
      <c r="V67" s="136"/>
      <c r="W67" s="136"/>
      <c r="X67" s="136"/>
      <c r="Y67" s="136"/>
      <c r="Z67" s="136"/>
      <c r="AA67" s="122"/>
    </row>
    <row r="68" spans="1:27" ht="18.75" thickBot="1" x14ac:dyDescent="0.4">
      <c r="A68" s="145"/>
      <c r="B68" s="139"/>
      <c r="C68" s="139"/>
      <c r="D68" s="139"/>
      <c r="E68" s="162" t="s">
        <v>330</v>
      </c>
      <c r="F68" s="215">
        <f>Rcomp_calc/1000</f>
        <v>7.7176154063131053</v>
      </c>
      <c r="G68" s="219" t="s">
        <v>221</v>
      </c>
      <c r="H68" s="216">
        <v>7.87</v>
      </c>
      <c r="I68" s="163" t="s">
        <v>221</v>
      </c>
      <c r="J68" s="136"/>
      <c r="K68" s="136"/>
      <c r="L68" s="136"/>
      <c r="M68" s="136"/>
      <c r="N68" s="136"/>
      <c r="O68" s="136"/>
      <c r="P68" s="136"/>
      <c r="Q68" s="136"/>
      <c r="R68" s="136"/>
      <c r="S68" s="136"/>
      <c r="T68" s="136"/>
      <c r="U68" s="139"/>
      <c r="V68" s="136"/>
      <c r="W68" s="136"/>
      <c r="X68" s="136"/>
      <c r="Y68" s="136"/>
      <c r="Z68" s="136"/>
      <c r="AA68" s="122"/>
    </row>
    <row r="69" spans="1:27" ht="18.75" thickBot="1" x14ac:dyDescent="0.4">
      <c r="A69" s="145"/>
      <c r="B69" s="139"/>
      <c r="C69" s="139"/>
      <c r="D69" s="139"/>
      <c r="E69" s="162" t="s">
        <v>457</v>
      </c>
      <c r="F69" s="217">
        <f>CComp_calc*(10^9)</f>
        <v>31.849820125088467</v>
      </c>
      <c r="G69" s="219" t="s">
        <v>224</v>
      </c>
      <c r="H69" s="216">
        <v>33</v>
      </c>
      <c r="I69" s="147" t="s">
        <v>224</v>
      </c>
      <c r="J69" s="136"/>
      <c r="K69" s="136"/>
      <c r="L69" s="136"/>
      <c r="M69" s="136"/>
      <c r="N69" s="136"/>
      <c r="O69" s="136"/>
      <c r="P69" s="136"/>
      <c r="Q69" s="136"/>
      <c r="R69" s="136"/>
      <c r="S69" s="136"/>
      <c r="T69" s="136"/>
      <c r="U69" s="139"/>
      <c r="V69" s="136"/>
      <c r="W69" s="136"/>
      <c r="X69" s="136"/>
      <c r="Y69" s="136"/>
      <c r="Z69" s="136"/>
      <c r="AA69" s="122"/>
    </row>
    <row r="70" spans="1:27" ht="18.75" thickBot="1" x14ac:dyDescent="0.4">
      <c r="A70" s="160"/>
      <c r="B70" s="153"/>
      <c r="C70" s="153"/>
      <c r="D70" s="153"/>
      <c r="E70" s="164" t="s">
        <v>458</v>
      </c>
      <c r="F70" s="214">
        <f>Variable_Management!B171*(10^12)</f>
        <v>1598.9230143735322</v>
      </c>
      <c r="G70" s="220" t="s">
        <v>223</v>
      </c>
      <c r="H70" s="205">
        <v>1600</v>
      </c>
      <c r="I70" s="155" t="s">
        <v>223</v>
      </c>
      <c r="J70" s="136"/>
      <c r="K70" s="136"/>
      <c r="L70" s="136"/>
      <c r="M70" s="136"/>
      <c r="N70" s="136"/>
      <c r="O70" s="136"/>
      <c r="P70" s="136"/>
      <c r="Q70" s="136"/>
      <c r="R70" s="136"/>
      <c r="S70" s="136"/>
      <c r="T70" s="136"/>
      <c r="U70" s="139"/>
      <c r="V70" s="136"/>
      <c r="W70" s="136"/>
      <c r="X70" s="136"/>
      <c r="Y70" s="136"/>
      <c r="Z70" s="136"/>
      <c r="AA70" s="122"/>
    </row>
    <row r="71" spans="1:27" x14ac:dyDescent="0.25">
      <c r="A71" s="136"/>
      <c r="B71" s="136"/>
      <c r="C71" s="136"/>
      <c r="D71" s="136"/>
      <c r="E71" s="137"/>
      <c r="F71" s="174"/>
      <c r="G71" s="137"/>
      <c r="H71" s="175"/>
      <c r="I71" s="136"/>
      <c r="J71" s="136"/>
      <c r="K71" s="136"/>
      <c r="L71" s="136"/>
      <c r="M71" s="136"/>
      <c r="N71" s="136"/>
      <c r="O71" s="136"/>
      <c r="P71" s="136"/>
      <c r="Q71" s="136"/>
      <c r="R71" s="136"/>
      <c r="S71" s="136"/>
      <c r="T71" s="136"/>
      <c r="U71" s="139"/>
      <c r="V71" s="136"/>
      <c r="W71" s="136"/>
      <c r="X71" s="136"/>
      <c r="Y71" s="136"/>
      <c r="Z71" s="136"/>
      <c r="AA71" s="122"/>
    </row>
    <row r="72" spans="1:27" ht="23.25" x14ac:dyDescent="0.35">
      <c r="A72" s="176" t="s">
        <v>329</v>
      </c>
      <c r="B72" s="177"/>
      <c r="C72" s="177"/>
      <c r="D72" s="177"/>
      <c r="E72" s="177"/>
      <c r="F72" s="177"/>
      <c r="G72" s="178"/>
      <c r="H72" s="177"/>
      <c r="I72" s="177"/>
      <c r="J72" s="177"/>
      <c r="K72" s="177"/>
      <c r="L72" s="177"/>
      <c r="M72" s="177"/>
      <c r="N72" s="177"/>
      <c r="O72" s="177"/>
      <c r="P72" s="177"/>
      <c r="Q72" s="177"/>
      <c r="R72" s="177"/>
      <c r="S72" s="177"/>
      <c r="T72" s="179"/>
      <c r="U72" s="180"/>
      <c r="V72" s="179"/>
      <c r="W72" s="179"/>
      <c r="X72" s="179"/>
      <c r="Y72" s="179"/>
      <c r="Z72" s="179"/>
    </row>
    <row r="73" spans="1:27" x14ac:dyDescent="0.25">
      <c r="A73" s="136"/>
      <c r="B73" s="136"/>
      <c r="C73" s="136"/>
      <c r="D73" s="136"/>
      <c r="E73" s="136"/>
      <c r="F73" s="136"/>
      <c r="G73" s="136"/>
      <c r="H73" s="136"/>
      <c r="I73" s="136"/>
      <c r="J73" s="136"/>
      <c r="K73" s="136"/>
      <c r="L73" s="136"/>
      <c r="M73" s="136"/>
      <c r="N73" s="136"/>
      <c r="O73" s="136"/>
      <c r="P73" s="136"/>
      <c r="Q73" s="136"/>
      <c r="R73" s="136"/>
      <c r="S73" s="136"/>
      <c r="T73" s="136"/>
      <c r="U73" s="139"/>
      <c r="V73" s="136"/>
      <c r="W73" s="136"/>
      <c r="X73" s="136"/>
      <c r="Y73" s="136"/>
      <c r="Z73" s="136"/>
      <c r="AA73" s="122"/>
    </row>
    <row r="74" spans="1:27" ht="15.75" thickBot="1" x14ac:dyDescent="0.3">
      <c r="A74" s="181" t="s">
        <v>408</v>
      </c>
      <c r="B74" s="139"/>
      <c r="C74" s="139"/>
      <c r="D74" s="139"/>
      <c r="E74" s="139"/>
      <c r="F74" s="136"/>
      <c r="G74" s="136"/>
      <c r="H74" s="139"/>
      <c r="I74" s="139"/>
      <c r="J74" s="136"/>
      <c r="K74" s="136"/>
      <c r="L74" s="136"/>
      <c r="M74" s="136"/>
      <c r="N74" s="136"/>
      <c r="O74" s="136"/>
      <c r="P74" s="136"/>
      <c r="Q74" s="136"/>
      <c r="R74" s="136"/>
      <c r="S74" s="136"/>
      <c r="T74" s="136"/>
      <c r="U74" s="139"/>
      <c r="V74" s="136"/>
      <c r="W74" s="136"/>
      <c r="X74" s="136"/>
      <c r="Y74" s="136"/>
      <c r="Z74" s="136"/>
      <c r="AA74" s="122"/>
    </row>
    <row r="75" spans="1:27" ht="15.75" x14ac:dyDescent="0.3">
      <c r="A75" s="141"/>
      <c r="B75" s="142"/>
      <c r="C75" s="142"/>
      <c r="D75" s="142"/>
      <c r="E75" s="142"/>
      <c r="F75" s="142"/>
      <c r="G75" s="182" t="s">
        <v>396</v>
      </c>
      <c r="H75" s="195">
        <v>4.7</v>
      </c>
      <c r="I75" s="183" t="s">
        <v>403</v>
      </c>
      <c r="J75" s="184"/>
      <c r="K75" s="184"/>
      <c r="L75" s="184"/>
      <c r="M75" s="184"/>
      <c r="N75" s="184"/>
      <c r="O75" s="184"/>
      <c r="P75" s="184"/>
      <c r="Q75" s="184"/>
      <c r="R75" s="184"/>
      <c r="S75" s="184"/>
      <c r="T75" s="184"/>
      <c r="U75" s="171"/>
      <c r="V75" s="175"/>
      <c r="W75" s="184"/>
      <c r="X75" s="184"/>
      <c r="Y75" s="184"/>
      <c r="Z75" s="184"/>
      <c r="AA75" s="122"/>
    </row>
    <row r="76" spans="1:27" ht="15.75" x14ac:dyDescent="0.3">
      <c r="A76" s="169"/>
      <c r="B76" s="139"/>
      <c r="C76" s="139"/>
      <c r="D76" s="139"/>
      <c r="E76" s="139"/>
      <c r="F76" s="139"/>
      <c r="G76" s="185" t="s">
        <v>397</v>
      </c>
      <c r="H76" s="196">
        <v>58</v>
      </c>
      <c r="I76" s="186" t="s">
        <v>404</v>
      </c>
      <c r="J76" s="184"/>
      <c r="K76" s="184"/>
      <c r="L76" s="184"/>
      <c r="M76" s="184"/>
      <c r="N76" s="184"/>
      <c r="O76" s="184"/>
      <c r="P76" s="184"/>
      <c r="Q76" s="184"/>
      <c r="R76" s="184"/>
      <c r="S76" s="184"/>
      <c r="T76" s="184"/>
      <c r="U76" s="171"/>
      <c r="V76" s="175"/>
      <c r="W76" s="184"/>
      <c r="X76" s="184"/>
      <c r="Y76" s="184"/>
      <c r="Z76" s="184"/>
      <c r="AA76" s="122"/>
    </row>
    <row r="77" spans="1:27" ht="15.75" x14ac:dyDescent="0.3">
      <c r="A77" s="169"/>
      <c r="B77" s="139"/>
      <c r="C77" s="139"/>
      <c r="D77" s="139"/>
      <c r="E77" s="139"/>
      <c r="F77" s="139"/>
      <c r="G77" s="185" t="s">
        <v>398</v>
      </c>
      <c r="H77" s="196">
        <v>9</v>
      </c>
      <c r="I77" s="186" t="s">
        <v>404</v>
      </c>
      <c r="J77" s="184"/>
      <c r="K77" s="184"/>
      <c r="L77" s="184"/>
      <c r="M77" s="184"/>
      <c r="N77" s="184"/>
      <c r="O77" s="184"/>
      <c r="P77" s="184"/>
      <c r="Q77" s="184"/>
      <c r="R77" s="184"/>
      <c r="S77" s="184"/>
      <c r="T77" s="184"/>
      <c r="U77" s="171"/>
      <c r="V77" s="175"/>
      <c r="W77" s="184"/>
      <c r="X77" s="184"/>
      <c r="Y77" s="184"/>
      <c r="Z77" s="184"/>
      <c r="AA77" s="122"/>
    </row>
    <row r="78" spans="1:27" ht="15.75" x14ac:dyDescent="0.3">
      <c r="A78" s="145"/>
      <c r="B78" s="139"/>
      <c r="C78" s="139"/>
      <c r="D78" s="139"/>
      <c r="E78" s="139"/>
      <c r="F78" s="139"/>
      <c r="G78" s="185" t="s">
        <v>399</v>
      </c>
      <c r="H78" s="196">
        <v>21</v>
      </c>
      <c r="I78" s="186" t="s">
        <v>404</v>
      </c>
      <c r="J78" s="184"/>
      <c r="K78" s="184"/>
      <c r="L78" s="184"/>
      <c r="M78" s="184"/>
      <c r="N78" s="184"/>
      <c r="O78" s="184"/>
      <c r="P78" s="184"/>
      <c r="Q78" s="184"/>
      <c r="R78" s="184"/>
      <c r="S78" s="184"/>
      <c r="T78" s="184"/>
      <c r="U78" s="171"/>
      <c r="V78" s="175"/>
      <c r="W78" s="184"/>
      <c r="X78" s="184"/>
      <c r="Y78" s="184"/>
      <c r="Z78" s="184"/>
      <c r="AA78" s="122"/>
    </row>
    <row r="79" spans="1:27" ht="15.75" x14ac:dyDescent="0.3">
      <c r="A79" s="145"/>
      <c r="B79" s="139"/>
      <c r="C79" s="139"/>
      <c r="D79" s="139"/>
      <c r="E79" s="139"/>
      <c r="F79" s="139"/>
      <c r="G79" s="185" t="s">
        <v>400</v>
      </c>
      <c r="H79" s="196">
        <v>0.9</v>
      </c>
      <c r="I79" s="186" t="s">
        <v>405</v>
      </c>
      <c r="J79" s="184"/>
      <c r="K79" s="184"/>
      <c r="L79" s="184"/>
      <c r="M79" s="184"/>
      <c r="N79" s="184"/>
      <c r="O79" s="184"/>
      <c r="P79" s="184"/>
      <c r="Q79" s="184"/>
      <c r="R79" s="184"/>
      <c r="S79" s="184"/>
      <c r="T79" s="184"/>
      <c r="U79" s="171"/>
      <c r="V79" s="175"/>
      <c r="W79" s="184"/>
      <c r="X79" s="184"/>
      <c r="Y79" s="184"/>
      <c r="Z79" s="184"/>
      <c r="AA79" s="122"/>
    </row>
    <row r="80" spans="1:27" ht="15.75" x14ac:dyDescent="0.3">
      <c r="A80" s="145"/>
      <c r="B80" s="139"/>
      <c r="C80" s="139"/>
      <c r="D80" s="139"/>
      <c r="E80" s="139"/>
      <c r="F80" s="139"/>
      <c r="G80" s="185" t="s">
        <v>401</v>
      </c>
      <c r="H80" s="196">
        <v>144</v>
      </c>
      <c r="I80" s="186" t="s">
        <v>406</v>
      </c>
      <c r="J80" s="184"/>
      <c r="K80" s="184"/>
      <c r="L80" s="184"/>
      <c r="M80" s="184"/>
      <c r="N80" s="184"/>
      <c r="O80" s="184"/>
      <c r="P80" s="184"/>
      <c r="Q80" s="184"/>
      <c r="R80" s="184"/>
      <c r="S80" s="184"/>
      <c r="T80" s="184"/>
      <c r="U80" s="171"/>
      <c r="V80" s="175"/>
      <c r="W80" s="184"/>
      <c r="X80" s="184"/>
      <c r="Y80" s="184"/>
      <c r="Z80" s="184"/>
      <c r="AA80" s="122"/>
    </row>
    <row r="81" spans="1:27" ht="16.5" thickBot="1" x14ac:dyDescent="0.35">
      <c r="A81" s="160"/>
      <c r="B81" s="153"/>
      <c r="C81" s="153"/>
      <c r="D81" s="153"/>
      <c r="E81" s="153"/>
      <c r="F81" s="153"/>
      <c r="G81" s="187" t="s">
        <v>402</v>
      </c>
      <c r="H81" s="205">
        <v>3</v>
      </c>
      <c r="I81" s="188" t="s">
        <v>12</v>
      </c>
      <c r="J81" s="184"/>
      <c r="K81" s="184"/>
      <c r="L81" s="184"/>
      <c r="M81" s="184"/>
      <c r="N81" s="184"/>
      <c r="O81" s="184"/>
      <c r="P81" s="184"/>
      <c r="Q81" s="184"/>
      <c r="R81" s="184"/>
      <c r="S81" s="184"/>
      <c r="T81" s="184"/>
      <c r="U81" s="171"/>
      <c r="V81" s="175"/>
      <c r="W81" s="184"/>
      <c r="X81" s="184"/>
      <c r="Y81" s="184"/>
      <c r="Z81" s="184"/>
      <c r="AA81" s="122"/>
    </row>
    <row r="82" spans="1:27" x14ac:dyDescent="0.25">
      <c r="A82" s="136"/>
      <c r="B82" s="136"/>
      <c r="C82" s="136"/>
      <c r="D82" s="136"/>
      <c r="E82" s="136"/>
      <c r="F82" s="136"/>
      <c r="G82" s="137"/>
      <c r="H82" s="136"/>
      <c r="I82" s="139"/>
      <c r="J82" s="136"/>
      <c r="K82" s="136"/>
      <c r="L82" s="136"/>
      <c r="M82" s="136"/>
      <c r="N82" s="136"/>
      <c r="O82" s="136"/>
      <c r="P82" s="136"/>
      <c r="Q82" s="136"/>
      <c r="R82" s="136"/>
      <c r="S82" s="136"/>
      <c r="T82" s="136"/>
      <c r="U82" s="139"/>
      <c r="V82" s="136"/>
      <c r="W82" s="136"/>
      <c r="X82" s="136"/>
      <c r="Y82" s="136"/>
      <c r="Z82" s="136"/>
      <c r="AA82" s="122"/>
    </row>
    <row r="83" spans="1:27" ht="15.75" thickBot="1" x14ac:dyDescent="0.3">
      <c r="A83" s="189" t="s">
        <v>407</v>
      </c>
      <c r="B83" s="136"/>
      <c r="C83" s="136"/>
      <c r="D83" s="136"/>
      <c r="E83" s="136"/>
      <c r="F83" s="136"/>
      <c r="G83" s="137"/>
      <c r="H83" s="136"/>
      <c r="I83" s="136"/>
      <c r="J83" s="136"/>
      <c r="K83" s="136"/>
      <c r="L83" s="136"/>
      <c r="M83" s="136"/>
      <c r="N83" s="136"/>
      <c r="O83" s="136"/>
      <c r="P83" s="136"/>
      <c r="Q83" s="136"/>
      <c r="R83" s="136"/>
      <c r="S83" s="136"/>
      <c r="T83" s="136"/>
      <c r="U83" s="139"/>
      <c r="V83" s="136"/>
      <c r="W83" s="136"/>
      <c r="X83" s="136"/>
      <c r="Y83" s="136"/>
      <c r="Z83" s="136"/>
      <c r="AA83" s="122"/>
    </row>
    <row r="84" spans="1:27" ht="18" x14ac:dyDescent="0.35">
      <c r="A84" s="141"/>
      <c r="B84" s="142"/>
      <c r="C84" s="142"/>
      <c r="D84" s="142"/>
      <c r="E84" s="142"/>
      <c r="F84" s="142"/>
      <c r="G84" s="166" t="s">
        <v>504</v>
      </c>
      <c r="H84" s="218">
        <f>IOUT</f>
        <v>10</v>
      </c>
      <c r="I84" s="144" t="s">
        <v>13</v>
      </c>
      <c r="J84" s="184"/>
      <c r="K84" s="184"/>
      <c r="L84" s="184"/>
      <c r="M84" s="184"/>
      <c r="N84" s="184"/>
      <c r="O84" s="184"/>
      <c r="P84" s="184"/>
      <c r="Q84" s="184"/>
      <c r="R84" s="184"/>
      <c r="S84" s="184"/>
      <c r="T84" s="184"/>
      <c r="U84" s="171"/>
      <c r="V84" s="175"/>
      <c r="W84" s="184"/>
      <c r="X84" s="184"/>
      <c r="Y84" s="184"/>
      <c r="Z84" s="184"/>
      <c r="AA84" s="122"/>
    </row>
    <row r="85" spans="1:27" ht="18" x14ac:dyDescent="0.35">
      <c r="A85" s="145"/>
      <c r="B85" s="139"/>
      <c r="C85" s="139"/>
      <c r="D85" s="139"/>
      <c r="E85" s="139"/>
      <c r="F85" s="139"/>
      <c r="G85" s="162" t="s">
        <v>409</v>
      </c>
      <c r="H85" s="196">
        <v>1700</v>
      </c>
      <c r="I85" s="147" t="s">
        <v>190</v>
      </c>
      <c r="J85" s="184"/>
      <c r="K85" s="184"/>
      <c r="L85" s="184"/>
      <c r="M85" s="184"/>
      <c r="N85" s="184"/>
      <c r="O85" s="184"/>
      <c r="P85" s="184"/>
      <c r="Q85" s="184"/>
      <c r="R85" s="184"/>
      <c r="S85" s="184"/>
      <c r="T85" s="184"/>
      <c r="U85" s="171"/>
      <c r="V85" s="175"/>
      <c r="W85" s="184"/>
      <c r="X85" s="184"/>
      <c r="Y85" s="184"/>
      <c r="Z85" s="184"/>
      <c r="AA85" s="122"/>
    </row>
    <row r="86" spans="1:27" ht="15.75" thickBot="1" x14ac:dyDescent="0.3">
      <c r="A86" s="160"/>
      <c r="B86" s="153"/>
      <c r="C86" s="153"/>
      <c r="D86" s="153"/>
      <c r="E86" s="153"/>
      <c r="F86" s="153"/>
      <c r="G86" s="164" t="s">
        <v>417</v>
      </c>
      <c r="H86" s="205">
        <v>10</v>
      </c>
      <c r="I86" s="155" t="s">
        <v>404</v>
      </c>
      <c r="J86" s="184"/>
      <c r="K86" s="184"/>
      <c r="L86" s="184"/>
      <c r="M86" s="184"/>
      <c r="N86" s="184"/>
      <c r="O86" s="184"/>
      <c r="P86" s="184"/>
      <c r="Q86" s="184"/>
      <c r="R86" s="184"/>
      <c r="S86" s="184"/>
      <c r="T86" s="184"/>
      <c r="U86" s="171"/>
      <c r="V86" s="175"/>
      <c r="W86" s="184"/>
      <c r="X86" s="184"/>
      <c r="Y86" s="184"/>
      <c r="Z86" s="184"/>
      <c r="AA86" s="122"/>
    </row>
    <row r="87" spans="1:27" x14ac:dyDescent="0.25">
      <c r="A87" s="136"/>
      <c r="B87" s="136"/>
      <c r="C87" s="136"/>
      <c r="D87" s="136"/>
      <c r="E87" s="136"/>
      <c r="F87" s="136"/>
      <c r="G87" s="137"/>
      <c r="H87" s="136"/>
      <c r="I87" s="136"/>
      <c r="J87" s="136"/>
      <c r="K87" s="136"/>
      <c r="L87" s="136"/>
      <c r="M87" s="136"/>
      <c r="N87" s="136"/>
      <c r="O87" s="136"/>
      <c r="P87" s="136"/>
      <c r="Q87" s="136"/>
      <c r="R87" s="136"/>
      <c r="S87" s="136"/>
      <c r="T87" s="136"/>
      <c r="U87" s="139"/>
      <c r="V87" s="136"/>
      <c r="W87" s="136"/>
      <c r="X87" s="136"/>
      <c r="Y87" s="136"/>
      <c r="Z87" s="136"/>
      <c r="AA87" s="122"/>
    </row>
    <row r="88" spans="1:27" x14ac:dyDescent="0.25">
      <c r="A88" s="136"/>
      <c r="B88" s="136"/>
      <c r="C88" s="136"/>
      <c r="D88" s="136"/>
      <c r="E88" s="136"/>
      <c r="F88" s="136"/>
      <c r="G88" s="137"/>
      <c r="H88" s="136"/>
      <c r="I88" s="136"/>
      <c r="J88" s="136"/>
      <c r="K88" s="136"/>
      <c r="L88" s="136"/>
      <c r="M88" s="136"/>
      <c r="N88" s="136"/>
      <c r="O88" s="136"/>
      <c r="P88" s="136"/>
      <c r="Q88" s="136"/>
      <c r="R88" s="136"/>
      <c r="S88" s="136"/>
      <c r="T88" s="136"/>
      <c r="U88" s="139"/>
      <c r="V88" s="136"/>
      <c r="W88" s="136"/>
      <c r="X88" s="136"/>
      <c r="Y88" s="136"/>
      <c r="Z88" s="136"/>
      <c r="AA88" s="122"/>
    </row>
    <row r="89" spans="1:27" x14ac:dyDescent="0.25">
      <c r="A89" s="136"/>
      <c r="B89" s="136"/>
      <c r="C89" s="136"/>
      <c r="D89" s="136"/>
      <c r="E89" s="136"/>
      <c r="F89" s="136"/>
      <c r="G89" s="137"/>
      <c r="H89" s="136"/>
      <c r="I89" s="136"/>
      <c r="J89" s="136"/>
      <c r="K89" s="136"/>
      <c r="L89" s="136"/>
      <c r="M89" s="136"/>
      <c r="N89" s="136"/>
      <c r="O89" s="136"/>
      <c r="P89" s="136"/>
      <c r="Q89" s="136"/>
      <c r="R89" s="136"/>
      <c r="S89" s="136"/>
      <c r="T89" s="136"/>
      <c r="U89" s="139"/>
      <c r="V89" s="136"/>
      <c r="W89" s="136"/>
      <c r="X89" s="136"/>
      <c r="Y89" s="136"/>
      <c r="Z89" s="136"/>
      <c r="AA89" s="122"/>
    </row>
    <row r="90" spans="1:27" x14ac:dyDescent="0.25">
      <c r="A90" s="136"/>
      <c r="B90" s="136"/>
      <c r="C90" s="136"/>
      <c r="D90" s="136"/>
      <c r="E90" s="136"/>
      <c r="F90" s="136"/>
      <c r="G90" s="137"/>
      <c r="H90" s="136"/>
      <c r="I90" s="136"/>
      <c r="J90" s="136"/>
      <c r="K90" s="136"/>
      <c r="L90" s="136"/>
      <c r="M90" s="136"/>
      <c r="N90" s="136"/>
      <c r="O90" s="136"/>
      <c r="P90" s="136"/>
      <c r="Q90" s="136"/>
      <c r="R90" s="136"/>
      <c r="S90" s="136"/>
      <c r="T90" s="136"/>
      <c r="U90" s="139"/>
      <c r="V90" s="136"/>
      <c r="W90" s="136"/>
      <c r="X90" s="136"/>
      <c r="Y90" s="136"/>
      <c r="Z90" s="136"/>
      <c r="AA90" s="122"/>
    </row>
    <row r="91" spans="1:27" x14ac:dyDescent="0.25">
      <c r="A91" s="136"/>
      <c r="B91" s="136"/>
      <c r="C91" s="136"/>
      <c r="D91" s="136"/>
      <c r="E91" s="136"/>
      <c r="F91" s="136"/>
      <c r="G91" s="137"/>
      <c r="H91" s="136"/>
      <c r="I91" s="136"/>
      <c r="J91" s="136"/>
      <c r="K91" s="136"/>
      <c r="L91" s="136"/>
      <c r="M91" s="136"/>
      <c r="N91" s="136"/>
      <c r="O91" s="136"/>
      <c r="P91" s="136"/>
      <c r="Q91" s="136"/>
      <c r="R91" s="136"/>
      <c r="S91" s="136"/>
      <c r="T91" s="136"/>
      <c r="U91" s="139"/>
      <c r="V91" s="136"/>
      <c r="W91" s="136"/>
      <c r="X91" s="136"/>
      <c r="Y91" s="136"/>
      <c r="Z91" s="136"/>
      <c r="AA91" s="122"/>
    </row>
    <row r="92" spans="1:27" x14ac:dyDescent="0.25">
      <c r="A92" s="136"/>
      <c r="B92" s="136"/>
      <c r="C92" s="136"/>
      <c r="D92" s="136"/>
      <c r="E92" s="136"/>
      <c r="F92" s="136"/>
      <c r="G92" s="137"/>
      <c r="H92" s="136"/>
      <c r="I92" s="136"/>
      <c r="J92" s="136"/>
      <c r="K92" s="136"/>
      <c r="L92" s="136"/>
      <c r="M92" s="136"/>
      <c r="N92" s="136"/>
      <c r="O92" s="136"/>
      <c r="P92" s="136"/>
      <c r="Q92" s="136"/>
      <c r="R92" s="136"/>
      <c r="S92" s="136"/>
      <c r="T92" s="136"/>
      <c r="U92" s="139"/>
      <c r="V92" s="136"/>
      <c r="W92" s="136"/>
      <c r="X92" s="136"/>
      <c r="Y92" s="136"/>
      <c r="Z92" s="136"/>
      <c r="AA92" s="122"/>
    </row>
    <row r="93" spans="1:27" x14ac:dyDescent="0.25">
      <c r="A93" s="136"/>
      <c r="B93" s="136"/>
      <c r="C93" s="136"/>
      <c r="D93" s="136"/>
      <c r="E93" s="136"/>
      <c r="F93" s="136"/>
      <c r="G93" s="137"/>
      <c r="H93" s="136"/>
      <c r="I93" s="136"/>
      <c r="J93" s="136"/>
      <c r="K93" s="136"/>
      <c r="L93" s="136"/>
      <c r="M93" s="136"/>
      <c r="N93" s="136"/>
      <c r="O93" s="136"/>
      <c r="P93" s="136"/>
      <c r="Q93" s="136"/>
      <c r="R93" s="136"/>
      <c r="S93" s="136"/>
      <c r="T93" s="136"/>
      <c r="U93" s="139"/>
      <c r="V93" s="136"/>
      <c r="W93" s="136"/>
      <c r="X93" s="136"/>
      <c r="Y93" s="136"/>
      <c r="Z93" s="136"/>
      <c r="AA93" s="122"/>
    </row>
    <row r="94" spans="1:27" x14ac:dyDescent="0.25">
      <c r="A94" s="136"/>
      <c r="B94" s="136"/>
      <c r="C94" s="136"/>
      <c r="D94" s="136"/>
      <c r="E94" s="136"/>
      <c r="F94" s="136"/>
      <c r="G94" s="137"/>
      <c r="H94" s="136"/>
      <c r="I94" s="136"/>
      <c r="J94" s="136"/>
      <c r="K94" s="136"/>
      <c r="L94" s="136"/>
      <c r="M94" s="136"/>
      <c r="N94" s="136"/>
      <c r="O94" s="136"/>
      <c r="P94" s="136"/>
      <c r="Q94" s="136"/>
      <c r="R94" s="136"/>
      <c r="S94" s="136"/>
      <c r="T94" s="136"/>
      <c r="U94" s="139"/>
      <c r="V94" s="136"/>
      <c r="W94" s="136"/>
      <c r="X94" s="136"/>
      <c r="Y94" s="136"/>
      <c r="Z94" s="136"/>
      <c r="AA94" s="122"/>
    </row>
    <row r="95" spans="1:27" x14ac:dyDescent="0.25">
      <c r="A95" s="136"/>
      <c r="B95" s="136"/>
      <c r="C95" s="136"/>
      <c r="D95" s="136"/>
      <c r="E95" s="136"/>
      <c r="F95" s="136"/>
      <c r="G95" s="137"/>
      <c r="H95" s="136"/>
      <c r="I95" s="136"/>
      <c r="J95" s="136"/>
      <c r="K95" s="136"/>
      <c r="L95" s="136"/>
      <c r="M95" s="136"/>
      <c r="N95" s="136"/>
      <c r="O95" s="136"/>
      <c r="P95" s="136"/>
      <c r="Q95" s="136"/>
      <c r="R95" s="136"/>
      <c r="S95" s="136"/>
      <c r="T95" s="136"/>
      <c r="U95" s="139"/>
      <c r="V95" s="136"/>
      <c r="W95" s="136"/>
      <c r="X95" s="136"/>
      <c r="Y95" s="136"/>
      <c r="Z95" s="136"/>
      <c r="AA95" s="122"/>
    </row>
    <row r="96" spans="1:27" x14ac:dyDescent="0.25">
      <c r="A96" s="136"/>
      <c r="B96" s="136"/>
      <c r="C96" s="136"/>
      <c r="D96" s="136"/>
      <c r="E96" s="136"/>
      <c r="F96" s="136"/>
      <c r="G96" s="137"/>
      <c r="H96" s="136"/>
      <c r="I96" s="136"/>
      <c r="J96" s="136"/>
      <c r="K96" s="136"/>
      <c r="L96" s="136"/>
      <c r="M96" s="136"/>
      <c r="N96" s="136"/>
      <c r="O96" s="136"/>
      <c r="P96" s="136"/>
      <c r="Q96" s="136"/>
      <c r="R96" s="136"/>
      <c r="S96" s="136"/>
      <c r="T96" s="136"/>
      <c r="U96" s="139"/>
      <c r="V96" s="136"/>
      <c r="W96" s="136"/>
      <c r="X96" s="136"/>
      <c r="Y96" s="136"/>
      <c r="Z96" s="136"/>
      <c r="AA96" s="122"/>
    </row>
    <row r="97" spans="1:27" x14ac:dyDescent="0.25">
      <c r="A97" s="136"/>
      <c r="B97" s="136"/>
      <c r="C97" s="136"/>
      <c r="D97" s="136"/>
      <c r="E97" s="136"/>
      <c r="F97" s="136"/>
      <c r="G97" s="137"/>
      <c r="H97" s="136"/>
      <c r="I97" s="136"/>
      <c r="J97" s="136"/>
      <c r="K97" s="136"/>
      <c r="L97" s="136"/>
      <c r="M97" s="136"/>
      <c r="N97" s="136"/>
      <c r="O97" s="136"/>
      <c r="P97" s="136"/>
      <c r="Q97" s="136"/>
      <c r="R97" s="136"/>
      <c r="S97" s="136"/>
      <c r="T97" s="136"/>
      <c r="U97" s="139"/>
      <c r="V97" s="136"/>
      <c r="W97" s="136"/>
      <c r="X97" s="136"/>
      <c r="Y97" s="136"/>
      <c r="Z97" s="136"/>
      <c r="AA97" s="122"/>
    </row>
    <row r="98" spans="1:27" x14ac:dyDescent="0.25">
      <c r="A98" s="136"/>
      <c r="B98" s="136"/>
      <c r="C98" s="136"/>
      <c r="D98" s="136"/>
      <c r="E98" s="136"/>
      <c r="F98" s="136"/>
      <c r="G98" s="137"/>
      <c r="H98" s="136"/>
      <c r="I98" s="136"/>
      <c r="J98" s="136"/>
      <c r="K98" s="136"/>
      <c r="L98" s="136"/>
      <c r="M98" s="136"/>
      <c r="N98" s="136"/>
      <c r="O98" s="136"/>
      <c r="P98" s="136"/>
      <c r="Q98" s="136"/>
      <c r="R98" s="136"/>
      <c r="S98" s="136"/>
      <c r="T98" s="136"/>
      <c r="U98" s="139"/>
      <c r="V98" s="136"/>
      <c r="W98" s="136"/>
      <c r="X98" s="136"/>
      <c r="Y98" s="136"/>
      <c r="Z98" s="136"/>
      <c r="AA98" s="122"/>
    </row>
    <row r="99" spans="1:27" x14ac:dyDescent="0.25">
      <c r="A99" s="190"/>
      <c r="B99" s="190"/>
      <c r="C99" s="190"/>
      <c r="D99" s="190"/>
      <c r="E99" s="190"/>
      <c r="F99" s="190"/>
      <c r="G99" s="191"/>
      <c r="H99" s="190"/>
      <c r="I99" s="190"/>
      <c r="J99" s="190"/>
      <c r="K99" s="190"/>
      <c r="L99" s="190"/>
      <c r="M99" s="190"/>
      <c r="N99" s="190"/>
      <c r="O99" s="190"/>
      <c r="P99" s="190"/>
      <c r="Q99" s="190"/>
      <c r="R99" s="190"/>
      <c r="S99" s="190"/>
      <c r="T99" s="190"/>
      <c r="U99" s="124"/>
      <c r="V99" s="190"/>
      <c r="W99" s="190"/>
      <c r="X99" s="190"/>
      <c r="Y99" s="190"/>
      <c r="Z99" s="190"/>
      <c r="AA99" s="122"/>
    </row>
  </sheetData>
  <sheetProtection password="E1A4" sheet="1" objects="1" scenarios="1"/>
  <conditionalFormatting sqref="H7">
    <cfRule type="cellIs" dxfId="6" priority="7" operator="lessThan">
      <formula>VIN_op_min</formula>
    </cfRule>
    <cfRule type="cellIs" dxfId="5" priority="8" operator="greaterThan">
      <formula>VIN_op_max</formula>
    </cfRule>
  </conditionalFormatting>
  <conditionalFormatting sqref="H8">
    <cfRule type="cellIs" dxfId="4" priority="6" operator="notBetween">
      <formula>$H$7</formula>
      <formula>$H$9</formula>
    </cfRule>
  </conditionalFormatting>
  <conditionalFormatting sqref="H9">
    <cfRule type="cellIs" dxfId="3" priority="3" operator="greaterThan">
      <formula>45</formula>
    </cfRule>
    <cfRule type="cellIs" dxfId="2" priority="4" operator="lessThan">
      <formula>1.5</formula>
    </cfRule>
  </conditionalFormatting>
  <conditionalFormatting sqref="H56">
    <cfRule type="expression" dxfId="1" priority="2">
      <formula>$H$8&lt;$H$7</formula>
    </cfRule>
    <cfRule type="expression" dxfId="0" priority="1">
      <formula>$H$8&gt;$H$9</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504825</xdr:colOff>
                    <xdr:row>55</xdr:row>
                    <xdr:rowOff>0</xdr:rowOff>
                  </from>
                  <to>
                    <xdr:col>8</xdr:col>
                    <xdr:colOff>9525</xdr:colOff>
                    <xdr:row>57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6"/>
  <sheetViews>
    <sheetView zoomScale="85" zoomScaleNormal="85" workbookViewId="0">
      <pane ySplit="5" topLeftCell="A6" activePane="bottomLeft" state="frozen"/>
      <selection pane="bottomLeft" activeCell="F172" sqref="F172"/>
    </sheetView>
  </sheetViews>
  <sheetFormatPr defaultRowHeight="15" x14ac:dyDescent="0.25"/>
  <cols>
    <col min="1" max="1" width="28.85546875" customWidth="1"/>
    <col min="2" max="2" width="19.5703125" customWidth="1"/>
    <col min="3" max="3" width="10.85546875" customWidth="1"/>
    <col min="4" max="4" width="10" bestFit="1" customWidth="1"/>
    <col min="5" max="5" width="18.7109375" customWidth="1"/>
    <col min="6" max="6" width="14.7109375" customWidth="1"/>
    <col min="7" max="7" width="15.140625" customWidth="1"/>
    <col min="8" max="8" width="12.5703125" customWidth="1"/>
    <col min="9" max="9" width="12.5703125" style="4" customWidth="1"/>
    <col min="12" max="12" width="10.28515625" bestFit="1" customWidth="1"/>
  </cols>
  <sheetData>
    <row r="1" spans="1:17" ht="27.75" x14ac:dyDescent="0.4">
      <c r="A1" s="221" t="s">
        <v>17</v>
      </c>
      <c r="B1" s="221"/>
      <c r="C1" s="221"/>
      <c r="D1" s="221"/>
      <c r="E1" s="221"/>
      <c r="F1" s="221"/>
      <c r="G1" s="221"/>
      <c r="H1" s="221"/>
      <c r="I1" s="221"/>
      <c r="J1" s="221"/>
    </row>
    <row r="2" spans="1:17" x14ac:dyDescent="0.25">
      <c r="A2" s="6"/>
      <c r="B2" s="6" t="s">
        <v>18</v>
      </c>
      <c r="C2" s="7"/>
      <c r="D2" s="5"/>
      <c r="E2" s="6"/>
      <c r="F2" s="6"/>
      <c r="G2" s="6"/>
      <c r="H2" s="6"/>
      <c r="I2" s="12"/>
      <c r="J2" s="6"/>
    </row>
    <row r="3" spans="1:17" x14ac:dyDescent="0.25">
      <c r="A3" s="6"/>
      <c r="B3" s="6" t="s">
        <v>19</v>
      </c>
      <c r="C3" s="8"/>
      <c r="D3" s="5"/>
      <c r="E3" s="6"/>
      <c r="F3" s="24" t="s">
        <v>65</v>
      </c>
      <c r="G3" s="25" t="s">
        <v>66</v>
      </c>
      <c r="H3" s="41" t="s">
        <v>69</v>
      </c>
      <c r="I3" s="12"/>
      <c r="J3" s="6"/>
    </row>
    <row r="4" spans="1:17" x14ac:dyDescent="0.25">
      <c r="A4" s="6"/>
      <c r="B4" s="6" t="s">
        <v>20</v>
      </c>
      <c r="C4" s="9"/>
      <c r="D4" s="5"/>
      <c r="E4" s="6"/>
      <c r="F4" s="6"/>
      <c r="G4" s="6"/>
      <c r="H4" s="6"/>
      <c r="I4" s="12"/>
      <c r="J4" s="6"/>
    </row>
    <row r="5" spans="1:17" x14ac:dyDescent="0.25">
      <c r="A5" s="11" t="s">
        <v>21</v>
      </c>
      <c r="B5" s="11" t="s">
        <v>22</v>
      </c>
      <c r="C5" s="11" t="s">
        <v>23</v>
      </c>
      <c r="D5" s="10"/>
      <c r="E5" s="222" t="s">
        <v>24</v>
      </c>
      <c r="F5" s="222"/>
      <c r="G5" s="222"/>
      <c r="H5" s="222"/>
      <c r="I5" s="20"/>
      <c r="J5" s="26" t="s">
        <v>25</v>
      </c>
      <c r="K5" s="11" t="s">
        <v>73</v>
      </c>
      <c r="L5" s="10"/>
      <c r="M5" s="10"/>
      <c r="N5" s="10"/>
      <c r="O5" s="10"/>
      <c r="P5" s="10"/>
      <c r="Q5" s="10"/>
    </row>
    <row r="6" spans="1:17" ht="15.75" x14ac:dyDescent="0.25">
      <c r="A6" s="19" t="s">
        <v>26</v>
      </c>
      <c r="B6" s="16"/>
      <c r="C6" s="16"/>
      <c r="D6" s="16"/>
      <c r="E6" s="17"/>
      <c r="F6" s="17"/>
      <c r="G6" s="17"/>
      <c r="H6" s="17"/>
      <c r="I6" s="17"/>
      <c r="J6" s="16"/>
      <c r="K6" s="10"/>
      <c r="L6" s="10"/>
      <c r="M6" s="10"/>
      <c r="N6" s="10"/>
      <c r="O6" s="10"/>
      <c r="P6" s="10"/>
      <c r="Q6" s="10"/>
    </row>
    <row r="7" spans="1:17" x14ac:dyDescent="0.25">
      <c r="A7" t="s">
        <v>27</v>
      </c>
      <c r="B7" s="3">
        <f>'Design Converter'!H7</f>
        <v>20</v>
      </c>
      <c r="C7" t="s">
        <v>12</v>
      </c>
      <c r="E7" t="s">
        <v>30</v>
      </c>
    </row>
    <row r="8" spans="1:17" x14ac:dyDescent="0.25">
      <c r="A8" t="s">
        <v>28</v>
      </c>
      <c r="B8" s="3">
        <f>'Design Converter'!H8</f>
        <v>22</v>
      </c>
      <c r="C8" t="s">
        <v>12</v>
      </c>
      <c r="E8" t="s">
        <v>31</v>
      </c>
      <c r="K8">
        <f>IF(VIN_min&lt;VIN_min,1,IF(VIN_nom&gt;VIN_max,1,0))</f>
        <v>0</v>
      </c>
    </row>
    <row r="9" spans="1:17" x14ac:dyDescent="0.25">
      <c r="A9" t="s">
        <v>29</v>
      </c>
      <c r="B9" s="3">
        <f>'Design Converter'!H9</f>
        <v>25</v>
      </c>
      <c r="C9" t="s">
        <v>12</v>
      </c>
      <c r="E9" t="s">
        <v>32</v>
      </c>
    </row>
    <row r="10" spans="1:17" s="4" customFormat="1" x14ac:dyDescent="0.25">
      <c r="A10" s="4" t="s">
        <v>70</v>
      </c>
      <c r="B10" s="3">
        <f>'Design Converter'!H12*1000</f>
        <v>350000</v>
      </c>
      <c r="C10" s="4" t="s">
        <v>71</v>
      </c>
      <c r="E10" s="4" t="s">
        <v>72</v>
      </c>
    </row>
    <row r="11" spans="1:17" s="4" customFormat="1" x14ac:dyDescent="0.25">
      <c r="A11" s="4" t="s">
        <v>75</v>
      </c>
      <c r="B11" s="30">
        <f>((2.21*10^10)/Fsw)-955</f>
        <v>62187.857142857145</v>
      </c>
      <c r="C11" s="2" t="s">
        <v>38</v>
      </c>
      <c r="E11" s="4" t="s">
        <v>76</v>
      </c>
    </row>
    <row r="13" spans="1:17" x14ac:dyDescent="0.25">
      <c r="A13" t="s">
        <v>33</v>
      </c>
      <c r="B13" s="3">
        <f>'Design Converter'!H10</f>
        <v>100</v>
      </c>
      <c r="C13" t="s">
        <v>12</v>
      </c>
      <c r="E13" t="s">
        <v>34</v>
      </c>
    </row>
    <row r="14" spans="1:17" x14ac:dyDescent="0.25">
      <c r="A14" t="s">
        <v>35</v>
      </c>
      <c r="B14" s="3">
        <f>'Design Converter'!H11</f>
        <v>10</v>
      </c>
      <c r="C14" t="s">
        <v>13</v>
      </c>
      <c r="E14" t="s">
        <v>36</v>
      </c>
    </row>
    <row r="15" spans="1:17" x14ac:dyDescent="0.25">
      <c r="A15" t="s">
        <v>37</v>
      </c>
      <c r="B15" s="1">
        <f>VOUT/IOUT</f>
        <v>10</v>
      </c>
      <c r="C15" s="2" t="s">
        <v>38</v>
      </c>
      <c r="E15" t="s">
        <v>44</v>
      </c>
    </row>
    <row r="16" spans="1:17" x14ac:dyDescent="0.25">
      <c r="A16" t="s">
        <v>39</v>
      </c>
      <c r="B16" s="1">
        <f>VOUT*IOUT</f>
        <v>1000</v>
      </c>
      <c r="C16" s="2" t="s">
        <v>40</v>
      </c>
      <c r="E16" t="s">
        <v>43</v>
      </c>
    </row>
    <row r="17" spans="1:11" x14ac:dyDescent="0.25">
      <c r="A17" t="s">
        <v>41</v>
      </c>
      <c r="B17" s="21">
        <f>'Design Converter'!H14/100</f>
        <v>0.9</v>
      </c>
      <c r="E17" t="s">
        <v>42</v>
      </c>
    </row>
    <row r="19" spans="1:11" x14ac:dyDescent="0.25">
      <c r="A19" t="s">
        <v>45</v>
      </c>
      <c r="B19" s="1">
        <f>1-VIN_min/VOUT</f>
        <v>0.8</v>
      </c>
      <c r="E19" t="s">
        <v>46</v>
      </c>
    </row>
    <row r="20" spans="1:11" s="4" customFormat="1" x14ac:dyDescent="0.25">
      <c r="A20" t="s">
        <v>47</v>
      </c>
      <c r="B20" s="22">
        <f>Constants!B20</f>
        <v>0.93</v>
      </c>
      <c r="C20"/>
      <c r="D20"/>
      <c r="E20" t="s">
        <v>48</v>
      </c>
      <c r="K20">
        <f>IF(((1-D_limit_nom)/Constants!B12)&lt;Fsw,1,0)</f>
        <v>0</v>
      </c>
    </row>
    <row r="21" spans="1:11" s="32" customFormat="1" x14ac:dyDescent="0.25">
      <c r="B21" s="27"/>
    </row>
    <row r="22" spans="1:11" s="32" customFormat="1" x14ac:dyDescent="0.25">
      <c r="A22" s="32" t="s">
        <v>84</v>
      </c>
      <c r="B22" s="1">
        <f>1-VIN_min/VOUT</f>
        <v>0.8</v>
      </c>
      <c r="E22" s="32" t="s">
        <v>87</v>
      </c>
    </row>
    <row r="23" spans="1:11" s="32" customFormat="1" x14ac:dyDescent="0.25">
      <c r="B23" s="23">
        <f>B22/Fsw</f>
        <v>2.285714285714286E-6</v>
      </c>
      <c r="C23" s="32" t="s">
        <v>56</v>
      </c>
      <c r="E23" s="32" t="s">
        <v>341</v>
      </c>
    </row>
    <row r="24" spans="1:11" s="32" customFormat="1" x14ac:dyDescent="0.25">
      <c r="A24" s="32" t="s">
        <v>94</v>
      </c>
      <c r="B24" s="29">
        <f>(VOUT*IOUT)/(VIN_min)</f>
        <v>50</v>
      </c>
      <c r="C24" s="32" t="s">
        <v>13</v>
      </c>
      <c r="E24" s="32" t="s">
        <v>97</v>
      </c>
    </row>
    <row r="25" spans="1:11" s="32" customFormat="1" x14ac:dyDescent="0.25">
      <c r="B25" s="27"/>
    </row>
    <row r="26" spans="1:11" s="32" customFormat="1" x14ac:dyDescent="0.25">
      <c r="A26" s="32" t="s">
        <v>85</v>
      </c>
      <c r="B26" s="1">
        <f>1-VIN_nom/VOUT</f>
        <v>0.78</v>
      </c>
      <c r="E26" s="32" t="s">
        <v>88</v>
      </c>
    </row>
    <row r="27" spans="1:11" s="32" customFormat="1" x14ac:dyDescent="0.25">
      <c r="B27" s="23">
        <f>B26/Fsw</f>
        <v>2.2285714285714286E-6</v>
      </c>
      <c r="C27" s="32" t="s">
        <v>56</v>
      </c>
      <c r="E27" s="32" t="s">
        <v>341</v>
      </c>
    </row>
    <row r="28" spans="1:11" s="32" customFormat="1" x14ac:dyDescent="0.25">
      <c r="A28" s="32" t="s">
        <v>95</v>
      </c>
      <c r="B28" s="29">
        <f>(VOUT*IOUT)/(VIN_nom)</f>
        <v>45.454545454545453</v>
      </c>
      <c r="C28" s="32" t="s">
        <v>13</v>
      </c>
      <c r="E28" s="32" t="s">
        <v>98</v>
      </c>
    </row>
    <row r="29" spans="1:11" s="32" customFormat="1" x14ac:dyDescent="0.25">
      <c r="B29" s="27"/>
    </row>
    <row r="30" spans="1:11" s="32" customFormat="1" x14ac:dyDescent="0.25">
      <c r="A30" s="32" t="s">
        <v>86</v>
      </c>
      <c r="B30" s="1">
        <f>1-VIN_max/VOUT</f>
        <v>0.75</v>
      </c>
      <c r="E30" s="32" t="s">
        <v>89</v>
      </c>
    </row>
    <row r="31" spans="1:11" s="32" customFormat="1" x14ac:dyDescent="0.25">
      <c r="B31" s="23">
        <f>B30/Fsw</f>
        <v>2.1428571428571427E-6</v>
      </c>
      <c r="C31" s="32" t="s">
        <v>56</v>
      </c>
      <c r="E31" s="32" t="s">
        <v>341</v>
      </c>
    </row>
    <row r="32" spans="1:11" s="32" customFormat="1" x14ac:dyDescent="0.25">
      <c r="A32" s="32" t="s">
        <v>96</v>
      </c>
      <c r="B32" s="29">
        <f>(VOUT*IOUT)/(VIN_max)</f>
        <v>40</v>
      </c>
      <c r="C32" s="32" t="s">
        <v>13</v>
      </c>
      <c r="E32" s="32" t="s">
        <v>99</v>
      </c>
    </row>
    <row r="34" spans="1:5" x14ac:dyDescent="0.25">
      <c r="A34" s="31" t="s">
        <v>79</v>
      </c>
      <c r="E34" s="32"/>
    </row>
    <row r="35" spans="1:5" x14ac:dyDescent="0.25">
      <c r="A35" t="s">
        <v>101</v>
      </c>
      <c r="B35" s="3">
        <f>'Design Converter'!H20/100</f>
        <v>0.6</v>
      </c>
      <c r="E35" t="s">
        <v>125</v>
      </c>
    </row>
    <row r="36" spans="1:5" s="32" customFormat="1" x14ac:dyDescent="0.25">
      <c r="A36" s="35" t="s">
        <v>110</v>
      </c>
      <c r="B36" s="27"/>
    </row>
    <row r="37" spans="1:5" x14ac:dyDescent="0.25">
      <c r="A37" t="s">
        <v>92</v>
      </c>
      <c r="B37" s="39">
        <f>(VIN_min*Dc_VIN_min)/(IL_avg_VIN_min*ILrip*Fsw)</f>
        <v>1.5238095238095238E-6</v>
      </c>
      <c r="C37" t="s">
        <v>100</v>
      </c>
      <c r="E37" t="s">
        <v>93</v>
      </c>
    </row>
    <row r="38" spans="1:5" x14ac:dyDescent="0.25">
      <c r="A38" s="32" t="s">
        <v>92</v>
      </c>
      <c r="B38" s="39">
        <f>(VIN_nom*Dc_VIN_nom)/(IL_avg_VIN_nom*ILrip*Fsw)</f>
        <v>1.7977142857142857E-6</v>
      </c>
      <c r="C38" s="32" t="s">
        <v>100</v>
      </c>
      <c r="D38" s="32"/>
      <c r="E38" s="32" t="s">
        <v>93</v>
      </c>
    </row>
    <row r="39" spans="1:5" x14ac:dyDescent="0.25">
      <c r="A39" s="32" t="s">
        <v>92</v>
      </c>
      <c r="B39" s="39">
        <f>(VIN_max*Dc_VIN_max)/(IL_avg_VIN_max*ILrip*Fsw)</f>
        <v>2.2321428571428573E-6</v>
      </c>
      <c r="C39" s="32" t="s">
        <v>100</v>
      </c>
      <c r="D39" s="32"/>
      <c r="E39" s="32" t="s">
        <v>93</v>
      </c>
    </row>
    <row r="40" spans="1:5" x14ac:dyDescent="0.25">
      <c r="A40" t="s">
        <v>102</v>
      </c>
      <c r="B40" s="39">
        <f>AVERAGE(B37:B39)</f>
        <v>1.8512222222222224E-6</v>
      </c>
      <c r="C40" t="s">
        <v>100</v>
      </c>
      <c r="E40" t="s">
        <v>103</v>
      </c>
    </row>
    <row r="41" spans="1:5" s="32" customFormat="1" x14ac:dyDescent="0.25"/>
    <row r="42" spans="1:5" s="32" customFormat="1" x14ac:dyDescent="0.25">
      <c r="A42" s="35" t="s">
        <v>111</v>
      </c>
    </row>
    <row r="43" spans="1:5" s="32" customFormat="1" x14ac:dyDescent="0.25">
      <c r="A43" s="40" t="s">
        <v>136</v>
      </c>
      <c r="B43" s="22">
        <v>0.33</v>
      </c>
      <c r="C43" s="32" t="s">
        <v>15</v>
      </c>
      <c r="E43" s="32" t="s">
        <v>135</v>
      </c>
    </row>
    <row r="44" spans="1:5" s="32" customFormat="1" x14ac:dyDescent="0.25">
      <c r="A44" s="32" t="s">
        <v>112</v>
      </c>
      <c r="B44" s="1">
        <f>IF(Dc_VIN_max&lt;Dc_rip_max,VOUT*(1-Dc_rip_max),VOUT*(1-Dc_VIN_max))</f>
        <v>25</v>
      </c>
      <c r="C44" s="32" t="s">
        <v>12</v>
      </c>
      <c r="E44" s="32" t="s">
        <v>139</v>
      </c>
    </row>
    <row r="45" spans="1:5" s="32" customFormat="1" x14ac:dyDescent="0.25">
      <c r="A45" s="32" t="s">
        <v>113</v>
      </c>
      <c r="B45" s="28">
        <f>(VOUT*IOUT)/(VIN_33)</f>
        <v>40</v>
      </c>
      <c r="C45" s="32" t="s">
        <v>13</v>
      </c>
      <c r="E45" s="32" t="s">
        <v>138</v>
      </c>
    </row>
    <row r="46" spans="1:5" s="32" customFormat="1" x14ac:dyDescent="0.25">
      <c r="A46" s="32" t="s">
        <v>114</v>
      </c>
      <c r="B46" s="39">
        <f>(VIN_33*0.33)/(IIN_33*ILrip*Fsw)</f>
        <v>9.8214285714285721E-7</v>
      </c>
      <c r="C46" s="32" t="s">
        <v>100</v>
      </c>
      <c r="E46" s="32" t="s">
        <v>137</v>
      </c>
    </row>
    <row r="48" spans="1:5" x14ac:dyDescent="0.25">
      <c r="A48" t="s">
        <v>104</v>
      </c>
      <c r="B48" s="34">
        <f>'Design Converter'!H22*10^-6</f>
        <v>4.6999999999999999E-6</v>
      </c>
      <c r="C48" t="s">
        <v>100</v>
      </c>
      <c r="E48" t="s">
        <v>105</v>
      </c>
    </row>
    <row r="49" spans="1:5" x14ac:dyDescent="0.25">
      <c r="A49" t="s">
        <v>107</v>
      </c>
      <c r="B49" s="3">
        <f>'Design Converter'!H23*10^-3</f>
        <v>1.1100000000000001E-3</v>
      </c>
      <c r="C49" s="2" t="s">
        <v>38</v>
      </c>
      <c r="E49" t="s">
        <v>140</v>
      </c>
    </row>
    <row r="50" spans="1:5" s="32" customFormat="1" x14ac:dyDescent="0.25">
      <c r="A50" s="32" t="s">
        <v>141</v>
      </c>
      <c r="B50" s="22">
        <v>0.2</v>
      </c>
      <c r="C50" s="2"/>
      <c r="E50" s="32" t="s">
        <v>142</v>
      </c>
    </row>
    <row r="51" spans="1:5" x14ac:dyDescent="0.25">
      <c r="B51" t="s">
        <v>115</v>
      </c>
    </row>
    <row r="52" spans="1:5" s="32" customFormat="1" x14ac:dyDescent="0.25">
      <c r="A52" s="32" t="s">
        <v>118</v>
      </c>
      <c r="B52" s="28">
        <f>(VIN_min*Dc_VIN_min)/(Lm*Fsw)</f>
        <v>9.7264437689969601</v>
      </c>
      <c r="C52" s="32" t="s">
        <v>13</v>
      </c>
      <c r="E52" s="32" t="s">
        <v>119</v>
      </c>
    </row>
    <row r="53" spans="1:5" x14ac:dyDescent="0.25">
      <c r="A53" t="s">
        <v>116</v>
      </c>
      <c r="B53" s="28">
        <f>(IL_avg_VIN_min/EFF_est)+(ILrip_VINmin/2)</f>
        <v>60.418777440054036</v>
      </c>
      <c r="C53" t="s">
        <v>13</v>
      </c>
      <c r="E53" t="s">
        <v>117</v>
      </c>
    </row>
    <row r="55" spans="1:5" x14ac:dyDescent="0.25">
      <c r="A55" s="32" t="s">
        <v>120</v>
      </c>
      <c r="B55" s="28">
        <f>(VIN_nom*Dc_VIN_nom)/(Lm*Fsw)</f>
        <v>10.43161094224924</v>
      </c>
      <c r="C55" s="32" t="s">
        <v>13</v>
      </c>
      <c r="E55" s="32" t="s">
        <v>126</v>
      </c>
    </row>
    <row r="56" spans="1:5" x14ac:dyDescent="0.25">
      <c r="A56" s="32" t="s">
        <v>121</v>
      </c>
      <c r="B56" s="28">
        <f>(IL_avg_VIN_nom/EFF_est)+(ILrip_VINnom/2)</f>
        <v>55.720855976175123</v>
      </c>
      <c r="C56" s="32" t="s">
        <v>13</v>
      </c>
      <c r="E56" s="32" t="s">
        <v>127</v>
      </c>
    </row>
    <row r="58" spans="1:5" x14ac:dyDescent="0.25">
      <c r="A58" s="32" t="s">
        <v>122</v>
      </c>
      <c r="B58" s="28">
        <f>(VIN_max*Dc_VIN_max)/(Lm*Fsw)</f>
        <v>11.398176291793312</v>
      </c>
      <c r="C58" s="32" t="s">
        <v>13</v>
      </c>
      <c r="E58" s="32" t="s">
        <v>128</v>
      </c>
    </row>
    <row r="59" spans="1:5" x14ac:dyDescent="0.25">
      <c r="A59" s="32" t="s">
        <v>123</v>
      </c>
      <c r="B59" s="28">
        <f>(IL_avg_VIN_max/EFF_est)+(ILrip_VINmax/2)</f>
        <v>50.143532590341096</v>
      </c>
      <c r="C59" s="32" t="s">
        <v>13</v>
      </c>
      <c r="E59" s="32" t="s">
        <v>129</v>
      </c>
    </row>
    <row r="61" spans="1:5" x14ac:dyDescent="0.25">
      <c r="A61" s="31" t="s">
        <v>124</v>
      </c>
    </row>
    <row r="62" spans="1:5" x14ac:dyDescent="0.25">
      <c r="A62" t="s">
        <v>131</v>
      </c>
      <c r="B62" s="3">
        <f>'Design Converter'!H27/100</f>
        <v>0.2</v>
      </c>
      <c r="E62" t="s">
        <v>132</v>
      </c>
    </row>
    <row r="63" spans="1:5" x14ac:dyDescent="0.25">
      <c r="A63" t="s">
        <v>133</v>
      </c>
      <c r="B63" s="29">
        <f>(1+Ipk_margin)*ILp_VINmin</f>
        <v>72.502532928064838</v>
      </c>
      <c r="C63" t="s">
        <v>13</v>
      </c>
      <c r="E63" t="s">
        <v>134</v>
      </c>
    </row>
    <row r="64" spans="1:5" s="32" customFormat="1" x14ac:dyDescent="0.25">
      <c r="B64" s="29"/>
    </row>
    <row r="65" spans="1:13" s="32" customFormat="1" x14ac:dyDescent="0.25">
      <c r="A65" s="32" t="s">
        <v>145</v>
      </c>
      <c r="B65" s="22">
        <v>0.6</v>
      </c>
      <c r="E65" s="32" t="s">
        <v>146</v>
      </c>
      <c r="J65" s="32">
        <f>Fsw*Isl*Rsl_int*Lm</f>
        <v>6.5783549999999996E-2</v>
      </c>
    </row>
    <row r="66" spans="1:13" s="32" customFormat="1" x14ac:dyDescent="0.25">
      <c r="B66" s="27"/>
      <c r="J66" s="32">
        <f>Isl</f>
        <v>2.9999999999999997E-5</v>
      </c>
      <c r="K66" s="32">
        <f>Fsw</f>
        <v>350000</v>
      </c>
      <c r="L66" s="32">
        <f>Lm</f>
        <v>4.6999999999999999E-6</v>
      </c>
      <c r="M66" s="32">
        <f>Rsl_int</f>
        <v>1333</v>
      </c>
    </row>
    <row r="67" spans="1:13" x14ac:dyDescent="0.25">
      <c r="A67" t="s">
        <v>143</v>
      </c>
      <c r="B67" s="39">
        <f>(1/B65)*((Fsw*Isl*Rsl_int*Lm)/(VOUT-VIN_min))</f>
        <v>1.3704906249999999E-3</v>
      </c>
      <c r="C67" s="2" t="s">
        <v>38</v>
      </c>
      <c r="E67" t="s">
        <v>144</v>
      </c>
    </row>
    <row r="68" spans="1:13" x14ac:dyDescent="0.25">
      <c r="A68" t="s">
        <v>151</v>
      </c>
      <c r="B68" s="39">
        <f>Vcl/Ipk_selected</f>
        <v>1.379262157629961E-3</v>
      </c>
      <c r="C68" s="2" t="s">
        <v>38</v>
      </c>
      <c r="E68" t="s">
        <v>152</v>
      </c>
    </row>
    <row r="69" spans="1:13" s="32" customFormat="1" x14ac:dyDescent="0.25">
      <c r="B69" s="27"/>
    </row>
    <row r="70" spans="1:13" s="32" customFormat="1" x14ac:dyDescent="0.25">
      <c r="A70" s="32" t="s">
        <v>158</v>
      </c>
      <c r="B70" s="22">
        <v>0.83299999999999996</v>
      </c>
      <c r="E70" s="32" t="s">
        <v>159</v>
      </c>
    </row>
    <row r="71" spans="1:13" x14ac:dyDescent="0.25">
      <c r="A71" t="s">
        <v>157</v>
      </c>
      <c r="B71" s="38">
        <f>(Lm*Fsw*(Vcl+(Dc_VIN_min*Isl*Rsl_int)))/((Dc_VIN_min*Kslope*VOUT)-(Dc_VIN_min*Kslope*VIN_min)+(Ipk_selected*Lm*Fsw))</f>
        <v>1.2581325617689323E-3</v>
      </c>
      <c r="C71" s="2" t="s">
        <v>38</v>
      </c>
      <c r="E71" t="s">
        <v>168</v>
      </c>
    </row>
    <row r="72" spans="1:13" x14ac:dyDescent="0.25">
      <c r="A72" t="s">
        <v>160</v>
      </c>
      <c r="B72" s="28">
        <f>(Vcl-(Ipk_selected*Rcs_w_sl))/(Isl*Dc_VIN_min)</f>
        <v>365.92510468655934</v>
      </c>
      <c r="C72" s="2" t="s">
        <v>38</v>
      </c>
      <c r="E72" s="32" t="s">
        <v>167</v>
      </c>
    </row>
    <row r="74" spans="1:13" x14ac:dyDescent="0.25">
      <c r="A74" t="s">
        <v>155</v>
      </c>
      <c r="B74" s="1">
        <f>IF(Rcs_wo_sl&gt;Rcs_max,1,0)</f>
        <v>1</v>
      </c>
      <c r="E74" t="s">
        <v>156</v>
      </c>
    </row>
    <row r="75" spans="1:13" x14ac:dyDescent="0.25">
      <c r="A75" t="s">
        <v>161</v>
      </c>
      <c r="B75" s="42">
        <f>IF(B74=0,Rcs_wo_sl,Rcs_w_sl)</f>
        <v>1.2581325617689323E-3</v>
      </c>
      <c r="C75" s="2" t="s">
        <v>38</v>
      </c>
      <c r="E75" t="s">
        <v>165</v>
      </c>
    </row>
    <row r="76" spans="1:13" x14ac:dyDescent="0.25">
      <c r="A76" t="s">
        <v>162</v>
      </c>
      <c r="B76" s="1">
        <f>IF(B74=0,0,B72)</f>
        <v>365.92510468655934</v>
      </c>
      <c r="C76" s="2" t="s">
        <v>38</v>
      </c>
      <c r="E76" t="s">
        <v>166</v>
      </c>
    </row>
    <row r="78" spans="1:13" x14ac:dyDescent="0.25">
      <c r="A78" t="s">
        <v>163</v>
      </c>
      <c r="B78" s="43">
        <f>'Design Converter'!H31/1000</f>
        <v>1.2999999999999999E-3</v>
      </c>
      <c r="C78" s="2" t="s">
        <v>38</v>
      </c>
      <c r="E78" t="s">
        <v>170</v>
      </c>
    </row>
    <row r="79" spans="1:13" x14ac:dyDescent="0.25">
      <c r="A79" t="s">
        <v>164</v>
      </c>
      <c r="B79" s="3">
        <f>'Design Converter'!H32</f>
        <v>360</v>
      </c>
      <c r="C79" s="2" t="s">
        <v>38</v>
      </c>
      <c r="E79" t="s">
        <v>171</v>
      </c>
    </row>
    <row r="81" spans="1:11" x14ac:dyDescent="0.25">
      <c r="A81" t="s">
        <v>175</v>
      </c>
      <c r="B81" s="1">
        <f>(Isl*(Rsl_int+R_sl)*Fsw)/(((VOUT-VIN_min)/Lm)*R_cs)</f>
        <v>0.8033610576923077</v>
      </c>
      <c r="C81" t="s">
        <v>183</v>
      </c>
      <c r="E81" t="s">
        <v>173</v>
      </c>
      <c r="K81">
        <f>IF(B81&lt;0.5,1,0)</f>
        <v>0</v>
      </c>
    </row>
    <row r="82" spans="1:11" s="32" customFormat="1" x14ac:dyDescent="0.25">
      <c r="A82" s="32" t="s">
        <v>177</v>
      </c>
      <c r="B82" s="29">
        <f>(Vcl-(Isl*R_sl*Dc_VIN_min))/R_cs</f>
        <v>70.276923076923083</v>
      </c>
      <c r="C82" s="32" t="s">
        <v>13</v>
      </c>
      <c r="E82" s="32" t="s">
        <v>179</v>
      </c>
      <c r="K82">
        <f>IF(IL_pk&lt;Ipk_selected,1,0)</f>
        <v>1</v>
      </c>
    </row>
    <row r="83" spans="1:11" x14ac:dyDescent="0.25">
      <c r="A83" t="s">
        <v>178</v>
      </c>
      <c r="B83" s="29">
        <f>(Vcl-(Isl*R_sl*Dc_VIN_max))/R_cs</f>
        <v>70.692307692307708</v>
      </c>
      <c r="C83" t="s">
        <v>13</v>
      </c>
      <c r="E83" t="s">
        <v>180</v>
      </c>
    </row>
    <row r="84" spans="1:11" x14ac:dyDescent="0.25">
      <c r="A84" t="s">
        <v>181</v>
      </c>
      <c r="B84" s="1">
        <f>0.15</f>
        <v>0.15</v>
      </c>
      <c r="E84" t="s">
        <v>182</v>
      </c>
    </row>
    <row r="85" spans="1:11" x14ac:dyDescent="0.25">
      <c r="A85" t="s">
        <v>184</v>
      </c>
      <c r="B85" s="28">
        <f>(1+B84)*B83</f>
        <v>81.296153846153857</v>
      </c>
      <c r="C85" t="s">
        <v>13</v>
      </c>
      <c r="E85" t="s">
        <v>185</v>
      </c>
    </row>
    <row r="87" spans="1:11" x14ac:dyDescent="0.25">
      <c r="A87" s="35" t="s">
        <v>186</v>
      </c>
    </row>
    <row r="88" spans="1:11" x14ac:dyDescent="0.25">
      <c r="A88" t="s">
        <v>187</v>
      </c>
    </row>
    <row r="90" spans="1:11" x14ac:dyDescent="0.25">
      <c r="A90" s="45" t="s">
        <v>188</v>
      </c>
      <c r="E90">
        <f>VIN_min</f>
        <v>20</v>
      </c>
    </row>
    <row r="92" spans="1:11" x14ac:dyDescent="0.25">
      <c r="A92" t="s">
        <v>195</v>
      </c>
      <c r="B92" s="46">
        <f>'Design Converter'!H37/1000</f>
        <v>0.2</v>
      </c>
      <c r="C92" t="s">
        <v>12</v>
      </c>
      <c r="E92" t="s">
        <v>194</v>
      </c>
    </row>
    <row r="93" spans="1:11" x14ac:dyDescent="0.25">
      <c r="A93" t="s">
        <v>197</v>
      </c>
      <c r="B93" s="1">
        <f>IOUT*Dc_VIN_min/(Fsw*Vout_rip_sel)</f>
        <v>1.1428571428571428E-4</v>
      </c>
      <c r="C93" t="s">
        <v>198</v>
      </c>
      <c r="E93" t="s">
        <v>199</v>
      </c>
    </row>
    <row r="94" spans="1:11" x14ac:dyDescent="0.25">
      <c r="A94" t="s">
        <v>201</v>
      </c>
      <c r="B94" s="28">
        <f>SQRT((1-Dc_VIN_min)*((IOUT^2)*(Dc_VIN_min/((1-Dc_VIN_min)^2))+((ILrip_VINmin^2)/3)))</f>
        <v>20.157056181217637</v>
      </c>
      <c r="C94" t="s">
        <v>13</v>
      </c>
      <c r="E94" t="s">
        <v>202</v>
      </c>
    </row>
    <row r="95" spans="1:11" x14ac:dyDescent="0.25">
      <c r="A95" t="s">
        <v>207</v>
      </c>
      <c r="B95" s="3">
        <f>'Design Converter'!H40*(10^-6)</f>
        <v>2.05E-4</v>
      </c>
      <c r="C95" t="s">
        <v>198</v>
      </c>
      <c r="E95" t="s">
        <v>205</v>
      </c>
    </row>
    <row r="96" spans="1:11" x14ac:dyDescent="0.25">
      <c r="A96" t="s">
        <v>204</v>
      </c>
      <c r="B96" s="3">
        <f>'Design Converter'!H41/1000</f>
        <v>1E-3</v>
      </c>
      <c r="C96" s="2" t="s">
        <v>38</v>
      </c>
      <c r="E96" t="s">
        <v>206</v>
      </c>
    </row>
    <row r="97" spans="1:5" x14ac:dyDescent="0.25">
      <c r="A97" t="s">
        <v>339</v>
      </c>
      <c r="B97">
        <f>SQRT((IOUT^2)+(IL_avg_VIN_min^2)-(2*IOUT*IL_avg_VIN_min)-(2*Dc_VIN_min*(IOUT^2))-(Dc_VIN_min*(IL_avg_VIN_min^2))+(2*Dc_VIN_min*IOUT*IL_avg_VIN_min))</f>
        <v>15.491933384829668</v>
      </c>
      <c r="E97" s="99" t="s">
        <v>340</v>
      </c>
    </row>
    <row r="98" spans="1:5" s="32" customFormat="1" x14ac:dyDescent="0.25"/>
    <row r="99" spans="1:5" s="32" customFormat="1" x14ac:dyDescent="0.25">
      <c r="A99" s="45" t="s">
        <v>359</v>
      </c>
    </row>
    <row r="100" spans="1:5" s="32" customFormat="1" x14ac:dyDescent="0.25">
      <c r="A100" s="32" t="s">
        <v>343</v>
      </c>
      <c r="B100" s="22">
        <f>Iss</f>
        <v>9.9999999999999991E-6</v>
      </c>
      <c r="C100" s="32" t="s">
        <v>13</v>
      </c>
      <c r="E100" s="32" t="s">
        <v>345</v>
      </c>
    </row>
    <row r="101" spans="1:5" s="32" customFormat="1" x14ac:dyDescent="0.25">
      <c r="A101" s="32" t="s">
        <v>346</v>
      </c>
      <c r="B101" s="1">
        <f>Iss*VOUT*Cout/(Vref*IOUT)</f>
        <v>2.0499999999999998E-8</v>
      </c>
      <c r="C101" s="32" t="s">
        <v>198</v>
      </c>
      <c r="E101" s="32" t="s">
        <v>347</v>
      </c>
    </row>
    <row r="102" spans="1:5" s="32" customFormat="1" x14ac:dyDescent="0.25">
      <c r="A102" s="32" t="s">
        <v>348</v>
      </c>
      <c r="B102" s="3">
        <f>'Design Converter'!H45*(10^-3)</f>
        <v>0.02</v>
      </c>
      <c r="C102" s="32" t="s">
        <v>56</v>
      </c>
      <c r="E102" s="32" t="s">
        <v>349</v>
      </c>
    </row>
    <row r="103" spans="1:5" s="32" customFormat="1" x14ac:dyDescent="0.25">
      <c r="A103" s="32" t="s">
        <v>352</v>
      </c>
      <c r="B103" s="1">
        <f>(tss*Iss)/(Vref*(1-(VIN_min/VOUT)))</f>
        <v>2.4999999999999999E-7</v>
      </c>
      <c r="C103" s="32" t="s">
        <v>198</v>
      </c>
      <c r="E103" s="32" t="s">
        <v>353</v>
      </c>
    </row>
    <row r="104" spans="1:5" s="32" customFormat="1" x14ac:dyDescent="0.25"/>
    <row r="105" spans="1:5" s="32" customFormat="1" x14ac:dyDescent="0.25">
      <c r="A105" s="45" t="s">
        <v>358</v>
      </c>
    </row>
    <row r="106" spans="1:5" s="32" customFormat="1" x14ac:dyDescent="0.25">
      <c r="A106" s="32" t="s">
        <v>360</v>
      </c>
      <c r="B106" s="3">
        <f>'Design Converter'!H49</f>
        <v>20</v>
      </c>
      <c r="C106" s="32" t="s">
        <v>12</v>
      </c>
      <c r="E106" s="32" t="s">
        <v>362</v>
      </c>
    </row>
    <row r="107" spans="1:5" s="32" customFormat="1" x14ac:dyDescent="0.25">
      <c r="A107" s="32" t="s">
        <v>361</v>
      </c>
      <c r="B107" s="3">
        <f>'Design Converter'!H50</f>
        <v>19</v>
      </c>
      <c r="C107" s="32" t="s">
        <v>12</v>
      </c>
      <c r="E107" s="32" t="s">
        <v>363</v>
      </c>
    </row>
    <row r="108" spans="1:5" s="32" customFormat="1" x14ac:dyDescent="0.25">
      <c r="A108" s="32" t="s">
        <v>365</v>
      </c>
      <c r="B108" s="22">
        <f>UV_rise</f>
        <v>1.5</v>
      </c>
      <c r="C108" s="32" t="s">
        <v>12</v>
      </c>
      <c r="E108" s="32" t="s">
        <v>370</v>
      </c>
    </row>
    <row r="109" spans="1:5" s="32" customFormat="1" x14ac:dyDescent="0.25">
      <c r="A109" s="32" t="s">
        <v>366</v>
      </c>
      <c r="B109" s="22">
        <f>UV_fall</f>
        <v>1.45</v>
      </c>
      <c r="C109" s="32" t="s">
        <v>12</v>
      </c>
      <c r="E109" s="32" t="s">
        <v>369</v>
      </c>
    </row>
    <row r="110" spans="1:5" s="32" customFormat="1" x14ac:dyDescent="0.25">
      <c r="A110" s="32" t="s">
        <v>371</v>
      </c>
      <c r="B110" s="22">
        <f>UV_I_hyst</f>
        <v>4.9999999999999996E-6</v>
      </c>
      <c r="C110" s="32" t="s">
        <v>13</v>
      </c>
      <c r="E110" s="32" t="s">
        <v>373</v>
      </c>
    </row>
    <row r="111" spans="1:5" s="32" customFormat="1" x14ac:dyDescent="0.25">
      <c r="A111" s="32" t="s">
        <v>374</v>
      </c>
      <c r="B111" s="30">
        <f>((Vuvlo_on*0.967)-Vuvlo_off)/(UV_I_hyst)</f>
        <v>67999.999999999971</v>
      </c>
      <c r="C111" s="2" t="s">
        <v>38</v>
      </c>
      <c r="E111" s="32" t="s">
        <v>476</v>
      </c>
    </row>
    <row r="112" spans="1:5" s="32" customFormat="1" x14ac:dyDescent="0.25">
      <c r="A112" s="32" t="s">
        <v>374</v>
      </c>
      <c r="B112" s="3">
        <f>'Design Converter'!H52*1000</f>
        <v>68000</v>
      </c>
      <c r="C112" s="2" t="s">
        <v>38</v>
      </c>
      <c r="E112" s="32" t="s">
        <v>477</v>
      </c>
    </row>
    <row r="113" spans="1:5" s="32" customFormat="1" x14ac:dyDescent="0.25">
      <c r="A113" s="32" t="s">
        <v>375</v>
      </c>
      <c r="B113" s="30">
        <f>UV_rise*Ruvlo_top/(Vuvlo_on-UV_rise)</f>
        <v>5513.5135135135133</v>
      </c>
      <c r="C113" s="2" t="s">
        <v>38</v>
      </c>
      <c r="E113" s="32" t="s">
        <v>478</v>
      </c>
    </row>
    <row r="114" spans="1:5" s="32" customFormat="1" x14ac:dyDescent="0.25">
      <c r="A114" s="32" t="s">
        <v>376</v>
      </c>
      <c r="B114" s="29">
        <f>UV_rise*(Ruvlo_top+Ruvlo_bottom_calc)/Ruvlo_bottom_calc</f>
        <v>20.000000000000004</v>
      </c>
      <c r="E114" s="32" t="s">
        <v>378</v>
      </c>
    </row>
    <row r="115" spans="1:5" s="32" customFormat="1" x14ac:dyDescent="0.25">
      <c r="A115" s="32" t="s">
        <v>377</v>
      </c>
      <c r="B115" s="29">
        <f>Ruvlo_top*((UV_fall/Ruvlo_top)-(UV_I_hyst)+(UV_fall/Ruvlo_bottom_calc))</f>
        <v>18.993333333333332</v>
      </c>
      <c r="E115" s="32" t="s">
        <v>379</v>
      </c>
    </row>
    <row r="116" spans="1:5" s="32" customFormat="1" x14ac:dyDescent="0.25"/>
    <row r="117" spans="1:5" s="32" customFormat="1" x14ac:dyDescent="0.25"/>
    <row r="118" spans="1:5" x14ac:dyDescent="0.25">
      <c r="A118" s="45" t="s">
        <v>209</v>
      </c>
    </row>
    <row r="119" spans="1:5" s="32" customFormat="1" x14ac:dyDescent="0.25">
      <c r="A119" s="50" t="s">
        <v>238</v>
      </c>
      <c r="B119" s="3" t="str">
        <f>'Design Converter'!H56</f>
        <v>22V</v>
      </c>
      <c r="C119" s="32" t="s">
        <v>12</v>
      </c>
      <c r="E119" s="32" t="s">
        <v>282</v>
      </c>
    </row>
    <row r="120" spans="1:5" s="32" customFormat="1" x14ac:dyDescent="0.25">
      <c r="A120" s="50"/>
      <c r="B120" s="27"/>
    </row>
    <row r="121" spans="1:5" x14ac:dyDescent="0.25">
      <c r="A121" s="49" t="s">
        <v>298</v>
      </c>
    </row>
    <row r="122" spans="1:5" s="32" customFormat="1" x14ac:dyDescent="0.25">
      <c r="A122" s="32" t="s">
        <v>230</v>
      </c>
      <c r="B122" s="3">
        <f>'Design Converter'!H59*(10^3)</f>
        <v>49900</v>
      </c>
      <c r="C122" s="2" t="s">
        <v>38</v>
      </c>
      <c r="E122" s="32" t="s">
        <v>283</v>
      </c>
    </row>
    <row r="123" spans="1:5" s="32" customFormat="1" x14ac:dyDescent="0.25">
      <c r="A123" s="32" t="s">
        <v>288</v>
      </c>
      <c r="B123" s="30">
        <f>(RFBT*Vref)/(VOUT-Vref)</f>
        <v>504.04040404040404</v>
      </c>
      <c r="C123" s="2" t="s">
        <v>38</v>
      </c>
      <c r="E123" s="32" t="s">
        <v>291</v>
      </c>
    </row>
    <row r="124" spans="1:5" x14ac:dyDescent="0.25">
      <c r="A124" t="s">
        <v>231</v>
      </c>
      <c r="B124" s="3">
        <f>'Design Converter'!H61*(10^3)</f>
        <v>500</v>
      </c>
      <c r="C124" s="2" t="s">
        <v>38</v>
      </c>
      <c r="E124" t="s">
        <v>292</v>
      </c>
    </row>
    <row r="125" spans="1:5" x14ac:dyDescent="0.25">
      <c r="A125" t="s">
        <v>293</v>
      </c>
      <c r="B125" s="1">
        <f>VOUT/(RFBB+RFBT)</f>
        <v>1.984126984126984E-3</v>
      </c>
      <c r="C125" s="2" t="s">
        <v>13</v>
      </c>
      <c r="E125" t="s">
        <v>294</v>
      </c>
    </row>
    <row r="126" spans="1:5" s="32" customFormat="1" x14ac:dyDescent="0.25">
      <c r="B126" s="27"/>
      <c r="C126" s="2"/>
    </row>
    <row r="127" spans="1:5" s="32" customFormat="1" x14ac:dyDescent="0.25">
      <c r="A127" s="49" t="s">
        <v>299</v>
      </c>
      <c r="E127" s="32" t="s">
        <v>466</v>
      </c>
    </row>
    <row r="128" spans="1:5" s="32" customFormat="1" x14ac:dyDescent="0.25"/>
    <row r="129" spans="1:5" s="32" customFormat="1" x14ac:dyDescent="0.25">
      <c r="A129" s="32" t="s">
        <v>480</v>
      </c>
      <c r="B129" s="32">
        <f>(Gcomp*(VIN_min/VOUT)*(VOUT/IOUT))/(2*R_cs*Acs)</f>
        <v>111.53846153846153</v>
      </c>
    </row>
    <row r="130" spans="1:5" s="32" customFormat="1" x14ac:dyDescent="0.25"/>
    <row r="131" spans="1:5" s="32" customFormat="1" x14ac:dyDescent="0.25">
      <c r="A131" s="32" t="s">
        <v>481</v>
      </c>
      <c r="B131" s="22">
        <f>2/(Cout*(VOUT/IOUT))</f>
        <v>975.6097560975611</v>
      </c>
      <c r="C131" s="32" t="s">
        <v>463</v>
      </c>
      <c r="E131" s="32" t="s">
        <v>462</v>
      </c>
    </row>
    <row r="132" spans="1:5" s="32" customFormat="1" x14ac:dyDescent="0.25">
      <c r="A132" s="32" t="s">
        <v>482</v>
      </c>
      <c r="B132" s="1">
        <f>B131/(2*PI())</f>
        <v>155.27311521160524</v>
      </c>
      <c r="C132" s="32" t="s">
        <v>71</v>
      </c>
      <c r="E132" s="32" t="s">
        <v>295</v>
      </c>
    </row>
    <row r="133" spans="1:5" s="32" customFormat="1" x14ac:dyDescent="0.25">
      <c r="B133" s="27"/>
    </row>
    <row r="134" spans="1:5" s="32" customFormat="1" x14ac:dyDescent="0.25">
      <c r="A134" s="32" t="s">
        <v>483</v>
      </c>
      <c r="B134" s="22">
        <f>1/(Cout*Resr)</f>
        <v>4878048.7804878047</v>
      </c>
      <c r="C134" s="32" t="s">
        <v>464</v>
      </c>
      <c r="E134" s="32" t="s">
        <v>465</v>
      </c>
    </row>
    <row r="135" spans="1:5" s="32" customFormat="1" x14ac:dyDescent="0.25">
      <c r="A135" s="32" t="s">
        <v>484</v>
      </c>
      <c r="B135" s="1">
        <f>B134/(2*PI())</f>
        <v>776365.57605802605</v>
      </c>
      <c r="C135" s="32" t="s">
        <v>71</v>
      </c>
      <c r="E135" s="32" t="s">
        <v>297</v>
      </c>
    </row>
    <row r="136" spans="1:5" s="32" customFormat="1" x14ac:dyDescent="0.25">
      <c r="B136" s="27"/>
    </row>
    <row r="137" spans="1:5" s="32" customFormat="1" x14ac:dyDescent="0.25">
      <c r="A137" s="32" t="s">
        <v>485</v>
      </c>
      <c r="B137" s="22">
        <f>((VOUT/IOUT)*((VIN_min/VOUT)^2))/(Lm)</f>
        <v>85106.382978723428</v>
      </c>
      <c r="E137" s="32" t="s">
        <v>461</v>
      </c>
    </row>
    <row r="138" spans="1:5" s="32" customFormat="1" x14ac:dyDescent="0.25">
      <c r="A138" s="32" t="s">
        <v>486</v>
      </c>
      <c r="B138" s="30">
        <f>B137/(2*PI())</f>
        <v>13545.101539735777</v>
      </c>
      <c r="C138" s="32" t="s">
        <v>71</v>
      </c>
      <c r="E138" s="32" t="s">
        <v>296</v>
      </c>
    </row>
    <row r="139" spans="1:5" s="32" customFormat="1" x14ac:dyDescent="0.25">
      <c r="B139" s="27">
        <f>Fsw/10</f>
        <v>35000</v>
      </c>
      <c r="C139" s="32" t="s">
        <v>71</v>
      </c>
      <c r="E139" s="32" t="s">
        <v>304</v>
      </c>
    </row>
    <row r="140" spans="1:5" s="32" customFormat="1" x14ac:dyDescent="0.25">
      <c r="B140" s="32">
        <f>IF((B138/5)&lt;(B139),0,1)</f>
        <v>0</v>
      </c>
      <c r="E140" s="32" t="s">
        <v>306</v>
      </c>
    </row>
    <row r="141" spans="1:5" s="32" customFormat="1" x14ac:dyDescent="0.25"/>
    <row r="142" spans="1:5" s="32" customFormat="1" x14ac:dyDescent="0.25">
      <c r="A142" s="32" t="s">
        <v>487</v>
      </c>
      <c r="B142" s="1">
        <f>(Isl*(Rsl_int+R_sl)*Fsw)</f>
        <v>17776.5</v>
      </c>
      <c r="C142" s="32" t="s">
        <v>183</v>
      </c>
      <c r="E142" s="32" t="s">
        <v>254</v>
      </c>
    </row>
    <row r="143" spans="1:5" s="32" customFormat="1" x14ac:dyDescent="0.25">
      <c r="A143" s="32" t="s">
        <v>488</v>
      </c>
      <c r="B143" s="1">
        <f>(R_cs*VIN_min*Acs)/Lm</f>
        <v>5531.9148936170213</v>
      </c>
      <c r="C143" s="32" t="s">
        <v>183</v>
      </c>
      <c r="E143" s="32" t="s">
        <v>255</v>
      </c>
    </row>
    <row r="144" spans="1:5" s="32" customFormat="1" x14ac:dyDescent="0.25">
      <c r="B144" s="1"/>
    </row>
    <row r="145" spans="1:5" s="32" customFormat="1" x14ac:dyDescent="0.25">
      <c r="A145" s="32" t="s">
        <v>489</v>
      </c>
      <c r="B145" s="1">
        <f>2*PI()*Fsw</f>
        <v>2199114.857512855</v>
      </c>
      <c r="C145" s="32" t="s">
        <v>257</v>
      </c>
    </row>
    <row r="146" spans="1:5" s="32" customFormat="1" x14ac:dyDescent="0.25">
      <c r="A146" s="32" t="s">
        <v>490</v>
      </c>
      <c r="B146" s="1">
        <f>1/(PI()*(((VIN_min/VOUT)*(1+(B142/B143)))-0.5))</f>
        <v>0.92885977981579604</v>
      </c>
    </row>
    <row r="147" spans="1:5" s="32" customFormat="1" x14ac:dyDescent="0.25"/>
    <row r="148" spans="1:5" s="32" customFormat="1" x14ac:dyDescent="0.25"/>
    <row r="149" spans="1:5" s="32" customFormat="1" x14ac:dyDescent="0.25"/>
    <row r="150" spans="1:5" s="32" customFormat="1" x14ac:dyDescent="0.25"/>
    <row r="151" spans="1:5" s="32" customFormat="1" x14ac:dyDescent="0.25">
      <c r="B151" s="27"/>
    </row>
    <row r="152" spans="1:5" s="32" customFormat="1" x14ac:dyDescent="0.25">
      <c r="A152" s="32" t="s">
        <v>300</v>
      </c>
      <c r="B152" s="29">
        <f>IF(B140=0,fz_rhp/5,Fsw/10)</f>
        <v>2709.0203079471553</v>
      </c>
      <c r="C152" s="32" t="s">
        <v>71</v>
      </c>
      <c r="E152" s="32" t="s">
        <v>305</v>
      </c>
    </row>
    <row r="153" spans="1:5" s="32" customFormat="1" x14ac:dyDescent="0.25">
      <c r="A153" s="32" t="s">
        <v>302</v>
      </c>
      <c r="B153" s="3">
        <f>'Design Converter'!H65*1000</f>
        <v>2700</v>
      </c>
      <c r="C153" s="32" t="s">
        <v>71</v>
      </c>
      <c r="E153" s="32" t="s">
        <v>303</v>
      </c>
    </row>
    <row r="154" spans="1:5" s="32" customFormat="1" x14ac:dyDescent="0.25"/>
    <row r="155" spans="1:5" s="32" customFormat="1" x14ac:dyDescent="0.25">
      <c r="A155" s="32" t="s">
        <v>311</v>
      </c>
      <c r="B155" s="33">
        <f>Gplant_fc_dB</f>
        <v>16.298948079335545</v>
      </c>
      <c r="C155" s="32" t="s">
        <v>281</v>
      </c>
      <c r="E155" s="32" t="s">
        <v>312</v>
      </c>
    </row>
    <row r="156" spans="1:5" s="32" customFormat="1" x14ac:dyDescent="0.25">
      <c r="A156" s="32" t="s">
        <v>307</v>
      </c>
      <c r="B156" s="33">
        <f>10^(B155/20)</f>
        <v>6.530514588582915</v>
      </c>
      <c r="C156" s="32" t="s">
        <v>183</v>
      </c>
      <c r="E156" s="32" t="s">
        <v>308</v>
      </c>
    </row>
    <row r="157" spans="1:5" s="32" customFormat="1" x14ac:dyDescent="0.25">
      <c r="A157" s="32" t="s">
        <v>313</v>
      </c>
      <c r="B157" s="33">
        <f>1/B156</f>
        <v>0.15312728980779972</v>
      </c>
      <c r="C157" s="32" t="s">
        <v>183</v>
      </c>
      <c r="E157" s="32" t="s">
        <v>314</v>
      </c>
    </row>
    <row r="158" spans="1:5" s="32" customFormat="1" x14ac:dyDescent="0.25"/>
    <row r="159" spans="1:5" s="32" customFormat="1" x14ac:dyDescent="0.25">
      <c r="A159" s="32" t="s">
        <v>320</v>
      </c>
      <c r="B159" s="32">
        <f>fcross/10</f>
        <v>270</v>
      </c>
      <c r="C159" s="32" t="s">
        <v>71</v>
      </c>
      <c r="E159" s="32" t="s">
        <v>318</v>
      </c>
    </row>
    <row r="160" spans="1:5" s="32" customFormat="1" x14ac:dyDescent="0.25">
      <c r="A160" s="32" t="s">
        <v>321</v>
      </c>
      <c r="B160" s="73">
        <f>SQRT(B132*fcross)</f>
        <v>647.48545240131386</v>
      </c>
      <c r="C160" s="32" t="s">
        <v>71</v>
      </c>
      <c r="E160" s="32" t="s">
        <v>319</v>
      </c>
    </row>
    <row r="161" spans="1:5" s="32" customFormat="1" x14ac:dyDescent="0.25">
      <c r="A161" s="32" t="s">
        <v>317</v>
      </c>
      <c r="B161" s="73">
        <f>B160</f>
        <v>647.48545240131386</v>
      </c>
      <c r="C161" s="32" t="s">
        <v>71</v>
      </c>
    </row>
    <row r="162" spans="1:5" s="32" customFormat="1" x14ac:dyDescent="0.25"/>
    <row r="163" spans="1:5" s="32" customFormat="1" x14ac:dyDescent="0.25">
      <c r="A163" s="32" t="s">
        <v>324</v>
      </c>
      <c r="B163" s="47">
        <f>fz_rhp</f>
        <v>13545.101539735777</v>
      </c>
      <c r="C163" s="32" t="s">
        <v>71</v>
      </c>
      <c r="E163" s="32" t="s">
        <v>501</v>
      </c>
    </row>
    <row r="164" spans="1:5" s="32" customFormat="1" x14ac:dyDescent="0.25">
      <c r="E164" s="32" t="s">
        <v>502</v>
      </c>
    </row>
    <row r="165" spans="1:5" s="32" customFormat="1" x14ac:dyDescent="0.25"/>
    <row r="166" spans="1:5" s="32" customFormat="1" x14ac:dyDescent="0.25"/>
    <row r="167" spans="1:5" s="32" customFormat="1" x14ac:dyDescent="0.25">
      <c r="A167" s="32" t="s">
        <v>315</v>
      </c>
      <c r="B167" s="37">
        <f>(Gea_mid_calc*(RFBT+RFBB)/(RFBB*gm_ea))</f>
        <v>7717.6154063131053</v>
      </c>
      <c r="C167" s="2" t="s">
        <v>38</v>
      </c>
      <c r="E167" s="32" t="s">
        <v>316</v>
      </c>
    </row>
    <row r="168" spans="1:5" x14ac:dyDescent="0.25">
      <c r="A168" t="s">
        <v>220</v>
      </c>
      <c r="B168" s="3">
        <f>'Design Converter'!H68*1000</f>
        <v>7870</v>
      </c>
      <c r="C168" s="2" t="s">
        <v>38</v>
      </c>
      <c r="E168" t="s">
        <v>227</v>
      </c>
    </row>
    <row r="169" spans="1:5" s="32" customFormat="1" x14ac:dyDescent="0.25">
      <c r="A169" s="32" t="s">
        <v>322</v>
      </c>
      <c r="B169" s="97">
        <f>1/(2*PI()*fz_ea_est*Rcomp_calc)</f>
        <v>3.1849820125088469E-8</v>
      </c>
      <c r="C169" s="2" t="s">
        <v>198</v>
      </c>
    </row>
    <row r="170" spans="1:5" x14ac:dyDescent="0.25">
      <c r="A170" t="s">
        <v>225</v>
      </c>
      <c r="B170" s="3">
        <f>'Design Converter'!H69*(10^-9)</f>
        <v>3.3000000000000004E-8</v>
      </c>
      <c r="C170" t="s">
        <v>198</v>
      </c>
      <c r="E170" t="s">
        <v>228</v>
      </c>
    </row>
    <row r="171" spans="1:5" s="32" customFormat="1" x14ac:dyDescent="0.25">
      <c r="A171" s="32" t="s">
        <v>323</v>
      </c>
      <c r="B171" s="97">
        <f>(CComp_calc)/((CComp_calc*Rcomp_calc*2*PI()*fp_ea_est)-1)</f>
        <v>1.5989230143735321E-9</v>
      </c>
      <c r="C171" s="32" t="s">
        <v>198</v>
      </c>
    </row>
    <row r="172" spans="1:5" x14ac:dyDescent="0.25">
      <c r="A172" t="s">
        <v>226</v>
      </c>
      <c r="B172" s="3">
        <f>'Design Converter'!H70*(10^-12)</f>
        <v>1.6000000000000001E-9</v>
      </c>
      <c r="C172" t="s">
        <v>198</v>
      </c>
      <c r="E172" t="s">
        <v>229</v>
      </c>
    </row>
    <row r="175" spans="1:5" x14ac:dyDescent="0.25">
      <c r="A175" s="45" t="s">
        <v>388</v>
      </c>
    </row>
    <row r="176" spans="1:5" s="32" customFormat="1" x14ac:dyDescent="0.25">
      <c r="A176" s="45" t="s">
        <v>407</v>
      </c>
    </row>
    <row r="177" spans="1:8" s="32" customFormat="1" x14ac:dyDescent="0.25">
      <c r="A177" s="117" t="s">
        <v>470</v>
      </c>
      <c r="E177" s="32" t="s">
        <v>471</v>
      </c>
    </row>
    <row r="178" spans="1:8" x14ac:dyDescent="0.25">
      <c r="A178" t="s">
        <v>389</v>
      </c>
      <c r="B178">
        <f>'Design Converter'!H85/1000</f>
        <v>1.7</v>
      </c>
      <c r="C178" t="s">
        <v>12</v>
      </c>
      <c r="E178" t="s">
        <v>390</v>
      </c>
    </row>
    <row r="179" spans="1:8" x14ac:dyDescent="0.25">
      <c r="A179" t="s">
        <v>420</v>
      </c>
      <c r="B179">
        <f>'Design Converter'!H86*(10^-9)</f>
        <v>1E-8</v>
      </c>
      <c r="C179" t="s">
        <v>418</v>
      </c>
      <c r="E179" t="s">
        <v>419</v>
      </c>
    </row>
    <row r="181" spans="1:8" s="32" customFormat="1" x14ac:dyDescent="0.25"/>
    <row r="182" spans="1:8" x14ac:dyDescent="0.25">
      <c r="A182" s="45" t="s">
        <v>410</v>
      </c>
    </row>
    <row r="183" spans="1:8" ht="15.75" x14ac:dyDescent="0.3">
      <c r="A183" t="s">
        <v>421</v>
      </c>
      <c r="B183" s="3">
        <f>'Design Converter'!H75*(10^-3)</f>
        <v>4.7000000000000002E-3</v>
      </c>
      <c r="C183" s="2" t="s">
        <v>38</v>
      </c>
      <c r="E183" s="105" t="s">
        <v>396</v>
      </c>
    </row>
    <row r="184" spans="1:8" ht="15.75" x14ac:dyDescent="0.3">
      <c r="A184" t="s">
        <v>411</v>
      </c>
      <c r="B184" s="3">
        <f>'Design Converter'!H76*(10^-9)</f>
        <v>5.8000000000000003E-8</v>
      </c>
      <c r="C184" t="s">
        <v>198</v>
      </c>
      <c r="E184" s="105" t="s">
        <v>397</v>
      </c>
    </row>
    <row r="185" spans="1:8" ht="15.75" x14ac:dyDescent="0.3">
      <c r="A185" t="s">
        <v>413</v>
      </c>
      <c r="B185" s="3">
        <f>'Design Converter'!H77*(10^-9)</f>
        <v>9.0000000000000012E-9</v>
      </c>
      <c r="C185" t="s">
        <v>198</v>
      </c>
      <c r="E185" s="105" t="s">
        <v>398</v>
      </c>
    </row>
    <row r="186" spans="1:8" ht="15.75" x14ac:dyDescent="0.3">
      <c r="A186" t="s">
        <v>412</v>
      </c>
      <c r="B186" s="3">
        <f>'Design Converter'!H78*(10^-9)</f>
        <v>2.1000000000000003E-8</v>
      </c>
      <c r="C186" t="s">
        <v>198</v>
      </c>
      <c r="E186" s="105" t="s">
        <v>399</v>
      </c>
    </row>
    <row r="187" spans="1:8" ht="15.75" x14ac:dyDescent="0.3">
      <c r="A187" t="s">
        <v>414</v>
      </c>
      <c r="B187" s="3">
        <f>'Design Converter'!H79</f>
        <v>0.9</v>
      </c>
      <c r="C187" s="2" t="s">
        <v>38</v>
      </c>
      <c r="E187" s="105" t="s">
        <v>400</v>
      </c>
    </row>
    <row r="188" spans="1:8" s="32" customFormat="1" x14ac:dyDescent="0.25">
      <c r="A188" s="32" t="s">
        <v>422</v>
      </c>
      <c r="B188" s="22">
        <v>1.5</v>
      </c>
      <c r="C188" s="2"/>
      <c r="E188" s="105" t="s">
        <v>423</v>
      </c>
      <c r="H188" s="32" t="s">
        <v>432</v>
      </c>
    </row>
    <row r="189" spans="1:8" ht="15.75" x14ac:dyDescent="0.3">
      <c r="A189" t="s">
        <v>415</v>
      </c>
      <c r="B189" s="3">
        <f>'Design Converter'!H80</f>
        <v>144</v>
      </c>
      <c r="C189" s="2" t="s">
        <v>406</v>
      </c>
      <c r="E189" s="105" t="s">
        <v>401</v>
      </c>
    </row>
    <row r="190" spans="1:8" ht="15.75" x14ac:dyDescent="0.3">
      <c r="A190" t="s">
        <v>416</v>
      </c>
      <c r="B190" s="3">
        <f>'Design Converter'!H81</f>
        <v>3</v>
      </c>
      <c r="C190" s="2" t="s">
        <v>12</v>
      </c>
      <c r="E190" s="105" t="s">
        <v>402</v>
      </c>
    </row>
    <row r="191" spans="1:8" s="32" customFormat="1" x14ac:dyDescent="0.25">
      <c r="A191" s="32" t="s">
        <v>428</v>
      </c>
      <c r="B191" s="22">
        <f>Vcc</f>
        <v>6.75</v>
      </c>
      <c r="C191" s="2" t="s">
        <v>12</v>
      </c>
      <c r="E191" s="105" t="s">
        <v>433</v>
      </c>
    </row>
    <row r="192" spans="1:8" s="32" customFormat="1" x14ac:dyDescent="0.25">
      <c r="B192" s="27"/>
      <c r="C192" s="2"/>
      <c r="E192" s="105"/>
    </row>
    <row r="193" spans="1:5" s="32" customFormat="1" x14ac:dyDescent="0.25">
      <c r="B193" s="27"/>
      <c r="C193" s="2"/>
      <c r="E193" s="105"/>
    </row>
    <row r="194" spans="1:5" x14ac:dyDescent="0.25">
      <c r="A194" t="s">
        <v>424</v>
      </c>
      <c r="B194" s="42">
        <f>Vth+(((VOUT*IOUT)/VIN_min)/gfs)</f>
        <v>3.3472222222222223</v>
      </c>
      <c r="C194" s="2" t="s">
        <v>12</v>
      </c>
      <c r="E194" s="105" t="s">
        <v>425</v>
      </c>
    </row>
    <row r="195" spans="1:5" x14ac:dyDescent="0.25">
      <c r="A195" t="s">
        <v>434</v>
      </c>
      <c r="B195" s="1">
        <f>(Qgd+(Qgs/2))*((Rgate+B188)/(Vcc-B194))</f>
        <v>1.3753469387755105E-8</v>
      </c>
      <c r="C195" s="2" t="s">
        <v>56</v>
      </c>
      <c r="E195" s="105" t="s">
        <v>426</v>
      </c>
    </row>
    <row r="196" spans="1:5" ht="15.75" thickBot="1" x14ac:dyDescent="0.3">
      <c r="A196" t="s">
        <v>435</v>
      </c>
      <c r="B196" s="1">
        <f>(Qgd+(Qgs/2))*((B188+Rgate)/B194)</f>
        <v>1.3981742738589213E-8</v>
      </c>
      <c r="C196" t="s">
        <v>56</v>
      </c>
      <c r="E196" s="106" t="s">
        <v>427</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94</xdr:row>
                <xdr:rowOff>133350</xdr:rowOff>
              </from>
              <to>
                <xdr:col>13</xdr:col>
                <xdr:colOff>161925</xdr:colOff>
                <xdr:row>97</xdr:row>
                <xdr:rowOff>19050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207"/>
  <sheetViews>
    <sheetView zoomScale="55" zoomScaleNormal="55" workbookViewId="0">
      <pane ySplit="6" topLeftCell="A7" activePane="bottomLeft" state="frozen"/>
      <selection activeCell="R1" sqref="R1"/>
      <selection pane="bottomLeft" activeCell="K11" sqref="K11"/>
    </sheetView>
  </sheetViews>
  <sheetFormatPr defaultRowHeight="15" x14ac:dyDescent="0.25"/>
  <cols>
    <col min="10" max="10" width="10" bestFit="1" customWidth="1"/>
    <col min="18" max="18" width="8.85546875" style="32"/>
    <col min="21" max="21" width="8.85546875" style="32"/>
    <col min="24" max="24" width="8.85546875" style="32"/>
    <col min="25" max="25" width="12" bestFit="1" customWidth="1"/>
    <col min="28" max="28" width="8.85546875" style="32"/>
    <col min="30" max="30" width="8.85546875" style="32"/>
    <col min="35" max="35" width="8.85546875" style="32"/>
    <col min="39" max="39" width="11" bestFit="1" customWidth="1"/>
    <col min="42" max="43" width="8.85546875" style="32"/>
  </cols>
  <sheetData>
    <row r="1" spans="1:46" ht="27.75" x14ac:dyDescent="0.4">
      <c r="A1" s="221" t="s">
        <v>17</v>
      </c>
      <c r="B1" s="221"/>
      <c r="C1" s="221"/>
      <c r="D1" s="221"/>
      <c r="E1" s="221"/>
      <c r="F1" s="221"/>
      <c r="G1" s="221"/>
      <c r="H1" s="221"/>
      <c r="I1" s="221"/>
      <c r="J1" s="221"/>
      <c r="K1" s="221"/>
      <c r="L1" s="221"/>
      <c r="M1" s="221"/>
    </row>
    <row r="4" spans="1:46" ht="15.75" thickBot="1" x14ac:dyDescent="0.3">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row>
    <row r="5" spans="1:46" ht="30" x14ac:dyDescent="0.25">
      <c r="Q5" s="32"/>
      <c r="R5" s="226" t="s">
        <v>381</v>
      </c>
      <c r="S5" s="227"/>
      <c r="T5" s="227"/>
      <c r="U5" s="228"/>
      <c r="V5" s="226" t="s">
        <v>382</v>
      </c>
      <c r="W5" s="227"/>
      <c r="X5" s="228"/>
      <c r="Y5" s="226" t="s">
        <v>455</v>
      </c>
      <c r="Z5" s="227"/>
      <c r="AA5" s="227"/>
      <c r="AB5" s="227"/>
      <c r="AC5" s="227"/>
      <c r="AD5" s="228"/>
      <c r="AE5" s="226" t="s">
        <v>454</v>
      </c>
      <c r="AF5" s="227"/>
      <c r="AG5" s="227"/>
      <c r="AH5" s="227"/>
      <c r="AI5" s="228"/>
      <c r="AJ5" s="226" t="s">
        <v>456</v>
      </c>
      <c r="AK5" s="227"/>
      <c r="AL5" s="227"/>
      <c r="AM5" s="227"/>
      <c r="AN5" s="228"/>
      <c r="AO5" s="223" t="s">
        <v>451</v>
      </c>
      <c r="AP5" s="224"/>
      <c r="AQ5" s="225"/>
      <c r="AR5" s="114" t="s">
        <v>444</v>
      </c>
      <c r="AS5" s="115"/>
      <c r="AT5" s="116"/>
    </row>
    <row r="6" spans="1:46" ht="18" x14ac:dyDescent="0.35">
      <c r="R6" s="100" t="s">
        <v>33</v>
      </c>
      <c r="S6" s="98" t="s">
        <v>35</v>
      </c>
      <c r="T6" s="98" t="s">
        <v>335</v>
      </c>
      <c r="U6" s="101" t="s">
        <v>338</v>
      </c>
      <c r="V6" s="100" t="s">
        <v>336</v>
      </c>
      <c r="W6" s="98" t="s">
        <v>337</v>
      </c>
      <c r="X6" s="101" t="s">
        <v>386</v>
      </c>
      <c r="Y6" s="111" t="s">
        <v>383</v>
      </c>
      <c r="Z6" s="108" t="s">
        <v>385</v>
      </c>
      <c r="AA6" s="108" t="s">
        <v>384</v>
      </c>
      <c r="AB6" s="109" t="s">
        <v>392</v>
      </c>
      <c r="AC6" s="109" t="s">
        <v>393</v>
      </c>
      <c r="AD6" s="112" t="s">
        <v>442</v>
      </c>
      <c r="AE6" s="111" t="s">
        <v>436</v>
      </c>
      <c r="AF6" s="108" t="s">
        <v>437</v>
      </c>
      <c r="AG6" s="109" t="s">
        <v>439</v>
      </c>
      <c r="AH6" s="109" t="s">
        <v>438</v>
      </c>
      <c r="AI6" s="112" t="s">
        <v>440</v>
      </c>
      <c r="AJ6" s="111" t="s">
        <v>391</v>
      </c>
      <c r="AK6" s="108" t="s">
        <v>387</v>
      </c>
      <c r="AL6" s="108" t="s">
        <v>394</v>
      </c>
      <c r="AM6" s="108" t="s">
        <v>395</v>
      </c>
      <c r="AN6" s="113" t="s">
        <v>441</v>
      </c>
      <c r="AO6" s="111" t="s">
        <v>443</v>
      </c>
      <c r="AP6" s="108" t="s">
        <v>446</v>
      </c>
      <c r="AQ6" s="113" t="s">
        <v>447</v>
      </c>
      <c r="AR6" s="111" t="s">
        <v>445</v>
      </c>
      <c r="AS6" s="108" t="s">
        <v>453</v>
      </c>
      <c r="AT6" s="113" t="s">
        <v>452</v>
      </c>
    </row>
    <row r="7" spans="1:46" x14ac:dyDescent="0.25">
      <c r="Q7">
        <v>0</v>
      </c>
      <c r="R7" s="100">
        <f t="shared" ref="R7:R70" si="0">VOUT</f>
        <v>100</v>
      </c>
      <c r="S7" s="98">
        <f t="shared" ref="S7:S38" si="1">Q7*$O$12</f>
        <v>0</v>
      </c>
      <c r="T7" s="98">
        <f t="shared" ref="T7:T70" si="2">VIN_var</f>
        <v>22</v>
      </c>
      <c r="U7" s="101">
        <f t="shared" ref="U7:U38" si="3">(R7*S7)/(T7*EFF_est)</f>
        <v>0</v>
      </c>
      <c r="V7" s="100">
        <f t="shared" ref="V7:V38" si="4">IF((S7*R7/T7)&lt;((T7*(1-(T7/R7)))/(2*Lm*Fsw)),1,2)</f>
        <v>1</v>
      </c>
      <c r="W7" s="98">
        <f t="shared" ref="W7:W38" si="5">CHOOSE(V7,SQRT((2*S7*Lm*Fsw*(R7-T7))/((T7)^2)),1-(T7/R7))</f>
        <v>0</v>
      </c>
      <c r="X7" s="101">
        <f t="shared" ref="X7:X38" si="6">CHOOSE(V7,(Lm*W7*Fsw)/(R7-T7),1-W7)</f>
        <v>0</v>
      </c>
      <c r="Y7" s="100">
        <f t="shared" ref="Y7:Y38" si="7">(T7*W7)/(Lm*Fsw)</f>
        <v>0</v>
      </c>
      <c r="Z7" s="98">
        <f>CHOOSE(V7,Y7,U7+(0.5*Y7))</f>
        <v>0</v>
      </c>
      <c r="AA7" s="98">
        <f>CHOOSE(V7,Z7*SQRT((W7+X7)/3),SQRT((U7^2)+((Y7^2)/12)))</f>
        <v>0</v>
      </c>
      <c r="AB7" s="98">
        <v>0</v>
      </c>
      <c r="AC7" s="98">
        <f t="shared" ref="AC7:AC38" si="8">(AA7^2)*Rdcr</f>
        <v>0</v>
      </c>
      <c r="AD7" s="101">
        <f>AB7+AC7</f>
        <v>0</v>
      </c>
      <c r="AE7" s="100">
        <f>U7*W7</f>
        <v>0</v>
      </c>
      <c r="AF7" s="98">
        <f>CHOOSE(V7,Z7*SQRT(W7/3),SQRT(W7*((Z7^2)+((Y7^2)/3)-(Z7*Y7))))</f>
        <v>0</v>
      </c>
      <c r="AG7" s="98">
        <f t="shared" ref="AG7:AG38" si="9">(AF7^2)*RDS_on</f>
        <v>0</v>
      </c>
      <c r="AH7" s="98">
        <f t="shared" ref="AH7:AH38" si="10">((R7*U7)/2)*Fsw*(tr_sw+tf_sw)</f>
        <v>0</v>
      </c>
      <c r="AI7" s="101">
        <f>AG7+AH7</f>
        <v>0</v>
      </c>
      <c r="AJ7" s="100">
        <f>X7*U7</f>
        <v>0</v>
      </c>
      <c r="AK7" s="98">
        <f t="shared" ref="AK7:AK38" si="11">CHOOSE(V7,Z7*SQRT(X7/3),SQRT(X7*((Z7^2)+((Y7^2)/3)-(Y7*Z7))))</f>
        <v>0</v>
      </c>
      <c r="AL7" s="98">
        <f t="shared" ref="AL7:AL38" si="12">S7*Vd_rect</f>
        <v>0</v>
      </c>
      <c r="AM7" s="98">
        <f t="shared" ref="AM7:AM38" si="13">CHOOSE(V7,(R7+Vd_rect)*Qrr*Fsw,(R7+Vd_rect)*Qrr*Fsw)</f>
        <v>0.35594999999999999</v>
      </c>
      <c r="AN7" s="101">
        <f>AL7+AM7</f>
        <v>0.35594999999999999</v>
      </c>
      <c r="AO7" s="100">
        <f t="shared" ref="AO7:AO38" si="14">(AF7^2)*R_cs</f>
        <v>0</v>
      </c>
      <c r="AP7" s="98">
        <f t="shared" ref="AP7:AP38" si="15">Qg_tot*Vcc*Fsw</f>
        <v>0.13702500000000001</v>
      </c>
      <c r="AQ7" s="101">
        <f t="shared" ref="AQ7:AQ38" si="16">IQ*T7</f>
        <v>9.8999999999999991E-3</v>
      </c>
      <c r="AR7" s="100">
        <f>AO7+AN7+AI7+AD7+AP7+AQ7</f>
        <v>0.50287499999999996</v>
      </c>
      <c r="AS7" s="98">
        <f>R7*S7</f>
        <v>0</v>
      </c>
      <c r="AT7" s="101">
        <f>(AS7/(AS7+AR7))*100</f>
        <v>0</v>
      </c>
    </row>
    <row r="8" spans="1:46" x14ac:dyDescent="0.25">
      <c r="M8">
        <f>Fsw</f>
        <v>350000</v>
      </c>
      <c r="Q8">
        <v>1</v>
      </c>
      <c r="R8" s="100">
        <f t="shared" si="0"/>
        <v>100</v>
      </c>
      <c r="S8" s="98">
        <f t="shared" si="1"/>
        <v>6.6666666666666666E-2</v>
      </c>
      <c r="T8" s="98">
        <f t="shared" si="2"/>
        <v>22</v>
      </c>
      <c r="U8" s="101">
        <f t="shared" si="3"/>
        <v>0.33670033670033672</v>
      </c>
      <c r="V8" s="100">
        <f t="shared" si="4"/>
        <v>1</v>
      </c>
      <c r="W8" s="98">
        <f t="shared" si="5"/>
        <v>0.18800826428116538</v>
      </c>
      <c r="X8" s="101">
        <f t="shared" si="6"/>
        <v>3.9650460864425257E-3</v>
      </c>
      <c r="Y8" s="100">
        <f t="shared" si="7"/>
        <v>2.514396239626528</v>
      </c>
      <c r="Z8" s="98">
        <f t="shared" ref="Z8:Z15" si="17">CHOOSE(V8,Y8,U8+(0.5*Y8))</f>
        <v>2.514396239626528</v>
      </c>
      <c r="AA8" s="98">
        <f t="shared" ref="AA8:AA15" si="18">CHOOSE(V8,Z8*SQRT((W8+X8)/3),SQRT((U8^2)+((Y8^2)/12)))</f>
        <v>0.63605331157201506</v>
      </c>
      <c r="AB8" s="98">
        <v>0</v>
      </c>
      <c r="AC8" s="98">
        <f t="shared" si="8"/>
        <v>4.4906583482951683E-4</v>
      </c>
      <c r="AD8" s="101">
        <f t="shared" ref="AD8:AD71" si="19">AB8+AC8</f>
        <v>4.4906583482951683E-4</v>
      </c>
      <c r="AE8" s="100">
        <f>U8*W8</f>
        <v>6.3302445885914271E-2</v>
      </c>
      <c r="AF8" s="98">
        <f t="shared" ref="AF8:AF71" si="20">CHOOSE(V8,Z8*SQRT(W8/3),SQRT(W8*((Z8^2)+((Y8^2)/3)-(Z8*Y8))))</f>
        <v>0.62945046850787723</v>
      </c>
      <c r="AG8" s="98">
        <f t="shared" si="9"/>
        <v>1.862177093832495E-3</v>
      </c>
      <c r="AH8" s="98">
        <f t="shared" si="10"/>
        <v>0.16342296707441942</v>
      </c>
      <c r="AI8" s="101">
        <f t="shared" ref="AI8:AI71" si="21">AG8+AH8</f>
        <v>0.16528514416825191</v>
      </c>
      <c r="AJ8" s="100">
        <f t="shared" ref="AJ8:AJ71" si="22">X8*U8</f>
        <v>1.3350323523375507E-3</v>
      </c>
      <c r="AK8" s="98">
        <f t="shared" si="11"/>
        <v>9.1410737098771302E-2</v>
      </c>
      <c r="AL8" s="98">
        <f t="shared" si="12"/>
        <v>0.11333333333333333</v>
      </c>
      <c r="AM8" s="98">
        <f t="shared" si="13"/>
        <v>0.35594999999999999</v>
      </c>
      <c r="AN8" s="101">
        <f t="shared" ref="AN8:AN71" si="23">AL8+AM8</f>
        <v>0.46928333333333333</v>
      </c>
      <c r="AO8" s="100">
        <f t="shared" si="14"/>
        <v>5.1507025999622199E-4</v>
      </c>
      <c r="AP8" s="98">
        <f t="shared" si="15"/>
        <v>0.13702500000000001</v>
      </c>
      <c r="AQ8" s="101">
        <f t="shared" si="16"/>
        <v>9.8999999999999991E-3</v>
      </c>
      <c r="AR8" s="100">
        <f t="shared" ref="AR8:AR71" si="24">AO8+AN8+AI8+AD8+AP8+AQ8</f>
        <v>0.78245761359641097</v>
      </c>
      <c r="AS8" s="98">
        <f t="shared" ref="AS8:AS71" si="25">R8*S8</f>
        <v>6.666666666666667</v>
      </c>
      <c r="AT8" s="101">
        <f t="shared" ref="AT8:AT71" si="26">(AS8/(AS8+AR8))*100</f>
        <v>89.495978531737194</v>
      </c>
    </row>
    <row r="9" spans="1:46" x14ac:dyDescent="0.25">
      <c r="N9" s="98" t="s">
        <v>239</v>
      </c>
      <c r="O9" s="98">
        <f>VIN_var</f>
        <v>22</v>
      </c>
      <c r="P9" t="s">
        <v>12</v>
      </c>
      <c r="Q9">
        <v>2</v>
      </c>
      <c r="R9" s="100">
        <f t="shared" si="0"/>
        <v>100</v>
      </c>
      <c r="S9" s="98">
        <f t="shared" si="1"/>
        <v>0.13333333333333333</v>
      </c>
      <c r="T9" s="98">
        <f t="shared" si="2"/>
        <v>22</v>
      </c>
      <c r="U9" s="101">
        <f t="shared" si="3"/>
        <v>0.67340067340067344</v>
      </c>
      <c r="V9" s="100">
        <f t="shared" si="4"/>
        <v>1</v>
      </c>
      <c r="W9" s="98">
        <f t="shared" si="5"/>
        <v>0.2658838371846492</v>
      </c>
      <c r="X9" s="101">
        <f t="shared" si="6"/>
        <v>5.6074219508813836E-3</v>
      </c>
      <c r="Y9" s="100">
        <f t="shared" si="7"/>
        <v>3.5558932632597462</v>
      </c>
      <c r="Z9" s="98">
        <f t="shared" si="17"/>
        <v>3.5558932632597462</v>
      </c>
      <c r="AA9" s="98">
        <f t="shared" si="18"/>
        <v>1.0697098992223228</v>
      </c>
      <c r="AB9" s="98">
        <v>0</v>
      </c>
      <c r="AC9" s="98">
        <f t="shared" si="8"/>
        <v>1.2701499880285977E-3</v>
      </c>
      <c r="AD9" s="101">
        <f t="shared" si="19"/>
        <v>1.2701499880285977E-3</v>
      </c>
      <c r="AE9" s="100">
        <f t="shared" ref="AE9:AE72" si="27">U9*W9</f>
        <v>0.17904635500649779</v>
      </c>
      <c r="AF9" s="98">
        <f t="shared" si="20"/>
        <v>1.0586052850960901</v>
      </c>
      <c r="AG9" s="98">
        <f t="shared" si="9"/>
        <v>5.2670322032768594E-3</v>
      </c>
      <c r="AH9" s="98">
        <f t="shared" si="10"/>
        <v>0.32684593414883883</v>
      </c>
      <c r="AI9" s="101">
        <f t="shared" si="21"/>
        <v>0.33211296635211568</v>
      </c>
      <c r="AJ9" s="100">
        <f t="shared" si="22"/>
        <v>3.7760417177652417E-3</v>
      </c>
      <c r="AK9" s="98">
        <f t="shared" si="11"/>
        <v>0.15373392228411301</v>
      </c>
      <c r="AL9" s="98">
        <f t="shared" si="12"/>
        <v>0.22666666666666666</v>
      </c>
      <c r="AM9" s="98">
        <f t="shared" si="13"/>
        <v>0.35594999999999999</v>
      </c>
      <c r="AN9" s="101">
        <f t="shared" si="23"/>
        <v>0.58261666666666667</v>
      </c>
      <c r="AO9" s="100">
        <f t="shared" si="14"/>
        <v>1.4568386945233865E-3</v>
      </c>
      <c r="AP9" s="98">
        <f t="shared" si="15"/>
        <v>0.13702500000000001</v>
      </c>
      <c r="AQ9" s="101">
        <f t="shared" si="16"/>
        <v>9.8999999999999991E-3</v>
      </c>
      <c r="AR9" s="100">
        <f t="shared" si="24"/>
        <v>1.0643816217013342</v>
      </c>
      <c r="AS9" s="98">
        <f t="shared" si="25"/>
        <v>13.333333333333334</v>
      </c>
      <c r="AT9" s="101">
        <f t="shared" si="26"/>
        <v>92.607287857653162</v>
      </c>
    </row>
    <row r="10" spans="1:46" x14ac:dyDescent="0.25">
      <c r="N10" s="98"/>
      <c r="O10" s="98"/>
      <c r="Q10">
        <v>3</v>
      </c>
      <c r="R10" s="100">
        <f t="shared" si="0"/>
        <v>100</v>
      </c>
      <c r="S10" s="98">
        <f t="shared" si="1"/>
        <v>0.2</v>
      </c>
      <c r="T10" s="98">
        <f t="shared" si="2"/>
        <v>22</v>
      </c>
      <c r="U10" s="101">
        <f t="shared" si="3"/>
        <v>1.0101010101010102</v>
      </c>
      <c r="V10" s="100">
        <f t="shared" si="4"/>
        <v>1</v>
      </c>
      <c r="W10" s="98">
        <f t="shared" si="5"/>
        <v>0.32563986597781541</v>
      </c>
      <c r="X10" s="101">
        <f t="shared" si="6"/>
        <v>6.8676612760705941E-3</v>
      </c>
      <c r="Y10" s="100">
        <f t="shared" si="7"/>
        <v>4.3550620373932762</v>
      </c>
      <c r="Z10" s="98">
        <f t="shared" si="17"/>
        <v>4.3550620373932762</v>
      </c>
      <c r="AA10" s="98">
        <f t="shared" si="18"/>
        <v>1.4498880123278644</v>
      </c>
      <c r="AB10" s="98">
        <v>0</v>
      </c>
      <c r="AC10" s="98">
        <f t="shared" si="8"/>
        <v>2.3334145256041707E-3</v>
      </c>
      <c r="AD10" s="101">
        <f t="shared" si="19"/>
        <v>2.3334145256041707E-3</v>
      </c>
      <c r="AE10" s="100">
        <f t="shared" si="27"/>
        <v>0.32892915755334895</v>
      </c>
      <c r="AF10" s="98">
        <f t="shared" si="20"/>
        <v>1.4348367849671972</v>
      </c>
      <c r="AG10" s="98">
        <f t="shared" si="9"/>
        <v>9.6761560176265148E-3</v>
      </c>
      <c r="AH10" s="98">
        <f t="shared" si="10"/>
        <v>0.49026890122325817</v>
      </c>
      <c r="AI10" s="101">
        <f t="shared" si="21"/>
        <v>0.49994505724088467</v>
      </c>
      <c r="AJ10" s="100">
        <f t="shared" si="22"/>
        <v>6.9370315919904998E-3</v>
      </c>
      <c r="AK10" s="98">
        <f t="shared" si="11"/>
        <v>0.20837142029808708</v>
      </c>
      <c r="AL10" s="98">
        <f t="shared" si="12"/>
        <v>0.34</v>
      </c>
      <c r="AM10" s="98">
        <f t="shared" si="13"/>
        <v>0.35594999999999999</v>
      </c>
      <c r="AN10" s="101">
        <f t="shared" si="23"/>
        <v>0.69595000000000007</v>
      </c>
      <c r="AO10" s="100">
        <f t="shared" si="14"/>
        <v>2.6763835793435042E-3</v>
      </c>
      <c r="AP10" s="98">
        <f t="shared" si="15"/>
        <v>0.13702500000000001</v>
      </c>
      <c r="AQ10" s="101">
        <f t="shared" si="16"/>
        <v>9.8999999999999991E-3</v>
      </c>
      <c r="AR10" s="100">
        <f t="shared" si="24"/>
        <v>1.3478298553458323</v>
      </c>
      <c r="AS10" s="98">
        <f t="shared" si="25"/>
        <v>20</v>
      </c>
      <c r="AT10" s="101">
        <f t="shared" si="26"/>
        <v>93.686337840994568</v>
      </c>
    </row>
    <row r="11" spans="1:46" x14ac:dyDescent="0.25">
      <c r="N11" s="98" t="s">
        <v>333</v>
      </c>
      <c r="O11" s="98">
        <v>150</v>
      </c>
      <c r="Q11">
        <v>4</v>
      </c>
      <c r="R11" s="100">
        <f t="shared" si="0"/>
        <v>100</v>
      </c>
      <c r="S11" s="98">
        <f t="shared" si="1"/>
        <v>0.26666666666666666</v>
      </c>
      <c r="T11" s="98">
        <f t="shared" si="2"/>
        <v>22</v>
      </c>
      <c r="U11" s="101">
        <f t="shared" si="3"/>
        <v>1.3468013468013469</v>
      </c>
      <c r="V11" s="100">
        <f t="shared" si="4"/>
        <v>1</v>
      </c>
      <c r="W11" s="98">
        <f t="shared" si="5"/>
        <v>0.37601652856233075</v>
      </c>
      <c r="X11" s="101">
        <f t="shared" si="6"/>
        <v>7.9300921728850515E-3</v>
      </c>
      <c r="Y11" s="100">
        <f t="shared" si="7"/>
        <v>5.0287924792530561</v>
      </c>
      <c r="Z11" s="98">
        <f t="shared" si="17"/>
        <v>5.0287924792530561</v>
      </c>
      <c r="AA11" s="98">
        <f t="shared" si="18"/>
        <v>1.799030439234927</v>
      </c>
      <c r="AB11" s="98">
        <v>0</v>
      </c>
      <c r="AC11" s="98">
        <f t="shared" si="8"/>
        <v>3.5925266786361342E-3</v>
      </c>
      <c r="AD11" s="101">
        <f t="shared" si="19"/>
        <v>3.5925266786361342E-3</v>
      </c>
      <c r="AE11" s="100">
        <f t="shared" si="27"/>
        <v>0.50641956708731417</v>
      </c>
      <c r="AF11" s="98">
        <f t="shared" si="20"/>
        <v>1.7803547788118776</v>
      </c>
      <c r="AG11" s="98">
        <f t="shared" si="9"/>
        <v>1.4897416750659961E-2</v>
      </c>
      <c r="AH11" s="98">
        <f t="shared" si="10"/>
        <v>0.65369186829767767</v>
      </c>
      <c r="AI11" s="101">
        <f t="shared" si="21"/>
        <v>0.66858928504833759</v>
      </c>
      <c r="AJ11" s="100">
        <f t="shared" si="22"/>
        <v>1.0680258818700406E-2</v>
      </c>
      <c r="AK11" s="98">
        <f t="shared" si="11"/>
        <v>0.25854860830320758</v>
      </c>
      <c r="AL11" s="98">
        <f t="shared" si="12"/>
        <v>0.45333333333333331</v>
      </c>
      <c r="AM11" s="98">
        <f t="shared" si="13"/>
        <v>0.35594999999999999</v>
      </c>
      <c r="AN11" s="101">
        <f t="shared" si="23"/>
        <v>0.80928333333333335</v>
      </c>
      <c r="AO11" s="100">
        <f t="shared" si="14"/>
        <v>4.1205620799697759E-3</v>
      </c>
      <c r="AP11" s="98">
        <f t="shared" si="15"/>
        <v>0.13702500000000001</v>
      </c>
      <c r="AQ11" s="101">
        <f t="shared" si="16"/>
        <v>9.8999999999999991E-3</v>
      </c>
      <c r="AR11" s="100">
        <f t="shared" si="24"/>
        <v>1.6325107071402769</v>
      </c>
      <c r="AS11" s="98">
        <f t="shared" si="25"/>
        <v>26.666666666666668</v>
      </c>
      <c r="AT11" s="101">
        <f t="shared" si="26"/>
        <v>94.231243242246009</v>
      </c>
    </row>
    <row r="12" spans="1:46" x14ac:dyDescent="0.25">
      <c r="N12" s="98" t="s">
        <v>334</v>
      </c>
      <c r="O12" s="98">
        <f>IOUT/(O11)</f>
        <v>6.6666666666666666E-2</v>
      </c>
      <c r="Q12">
        <v>5</v>
      </c>
      <c r="R12" s="100">
        <f t="shared" si="0"/>
        <v>100</v>
      </c>
      <c r="S12" s="98">
        <f t="shared" si="1"/>
        <v>0.33333333333333331</v>
      </c>
      <c r="T12" s="98">
        <f t="shared" si="2"/>
        <v>22</v>
      </c>
      <c r="U12" s="101">
        <f t="shared" si="3"/>
        <v>1.6835016835016832</v>
      </c>
      <c r="V12" s="100">
        <f t="shared" si="4"/>
        <v>1</v>
      </c>
      <c r="W12" s="98">
        <f t="shared" si="5"/>
        <v>0.42039925926443145</v>
      </c>
      <c r="X12" s="101">
        <f t="shared" si="6"/>
        <v>8.8661125832049954E-3</v>
      </c>
      <c r="Y12" s="100">
        <f t="shared" si="7"/>
        <v>5.6223609141747666</v>
      </c>
      <c r="Z12" s="98">
        <f t="shared" si="17"/>
        <v>5.6223609141747666</v>
      </c>
      <c r="AA12" s="98">
        <f t="shared" si="18"/>
        <v>2.1267724278096627</v>
      </c>
      <c r="AB12" s="98">
        <v>0</v>
      </c>
      <c r="AC12" s="98">
        <f t="shared" si="8"/>
        <v>5.0207086652574624E-3</v>
      </c>
      <c r="AD12" s="101">
        <f t="shared" si="19"/>
        <v>5.0207086652574624E-3</v>
      </c>
      <c r="AE12" s="100">
        <f t="shared" si="27"/>
        <v>0.70774286071453096</v>
      </c>
      <c r="AF12" s="98">
        <f t="shared" si="20"/>
        <v>2.1046944913875478</v>
      </c>
      <c r="AG12" s="98">
        <f t="shared" si="9"/>
        <v>2.0819772839762319E-2</v>
      </c>
      <c r="AH12" s="98">
        <f t="shared" si="10"/>
        <v>0.81711483537209673</v>
      </c>
      <c r="AI12" s="101">
        <f t="shared" si="21"/>
        <v>0.83793460821185906</v>
      </c>
      <c r="AJ12" s="100">
        <f t="shared" si="22"/>
        <v>1.4926115459941066E-2</v>
      </c>
      <c r="AK12" s="98">
        <f t="shared" si="11"/>
        <v>0.30565022102775924</v>
      </c>
      <c r="AL12" s="98">
        <f t="shared" si="12"/>
        <v>0.56666666666666665</v>
      </c>
      <c r="AM12" s="98">
        <f t="shared" si="13"/>
        <v>0.35594999999999999</v>
      </c>
      <c r="AN12" s="101">
        <f t="shared" si="23"/>
        <v>0.92261666666666664</v>
      </c>
      <c r="AO12" s="100">
        <f t="shared" si="14"/>
        <v>5.758660572700215E-3</v>
      </c>
      <c r="AP12" s="98">
        <f t="shared" si="15"/>
        <v>0.13702500000000001</v>
      </c>
      <c r="AQ12" s="101">
        <f t="shared" si="16"/>
        <v>9.8999999999999991E-3</v>
      </c>
      <c r="AR12" s="100">
        <f t="shared" si="24"/>
        <v>1.9182556441164833</v>
      </c>
      <c r="AS12" s="98">
        <f t="shared" si="25"/>
        <v>33.333333333333329</v>
      </c>
      <c r="AT12" s="101">
        <f t="shared" si="26"/>
        <v>94.558385310393874</v>
      </c>
    </row>
    <row r="13" spans="1:46" x14ac:dyDescent="0.25">
      <c r="Q13">
        <v>6</v>
      </c>
      <c r="R13" s="100">
        <f t="shared" si="0"/>
        <v>100</v>
      </c>
      <c r="S13" s="98">
        <f t="shared" si="1"/>
        <v>0.4</v>
      </c>
      <c r="T13" s="98">
        <f t="shared" si="2"/>
        <v>22</v>
      </c>
      <c r="U13" s="101">
        <f t="shared" si="3"/>
        <v>2.0202020202020203</v>
      </c>
      <c r="V13" s="100">
        <f t="shared" si="4"/>
        <v>1</v>
      </c>
      <c r="W13" s="98">
        <f t="shared" si="5"/>
        <v>0.46052431491518359</v>
      </c>
      <c r="X13" s="101">
        <f t="shared" si="6"/>
        <v>9.7123397184035523E-3</v>
      </c>
      <c r="Y13" s="100">
        <f t="shared" si="7"/>
        <v>6.1589877982577743</v>
      </c>
      <c r="Z13" s="98">
        <f t="shared" si="17"/>
        <v>6.1589877982577743</v>
      </c>
      <c r="AA13" s="98">
        <f t="shared" si="18"/>
        <v>2.4384112641716693</v>
      </c>
      <c r="AB13" s="98">
        <v>0</v>
      </c>
      <c r="AC13" s="98">
        <f t="shared" si="8"/>
        <v>6.5998929374955998E-3</v>
      </c>
      <c r="AD13" s="101">
        <f t="shared" si="19"/>
        <v>6.5998929374955998E-3</v>
      </c>
      <c r="AE13" s="100">
        <f t="shared" si="27"/>
        <v>0.93035215134380533</v>
      </c>
      <c r="AF13" s="98">
        <f t="shared" si="20"/>
        <v>2.4130982179061622</v>
      </c>
      <c r="AG13" s="98">
        <f t="shared" si="9"/>
        <v>2.736830214353091E-2</v>
      </c>
      <c r="AH13" s="98">
        <f t="shared" si="10"/>
        <v>0.98053780244651634</v>
      </c>
      <c r="AI13" s="101">
        <f t="shared" si="21"/>
        <v>1.0079061045900473</v>
      </c>
      <c r="AJ13" s="100">
        <f t="shared" si="22"/>
        <v>1.9620888320007177E-2</v>
      </c>
      <c r="AK13" s="98">
        <f t="shared" si="11"/>
        <v>0.35043756073997306</v>
      </c>
      <c r="AL13" s="98">
        <f t="shared" si="12"/>
        <v>0.68</v>
      </c>
      <c r="AM13" s="98">
        <f t="shared" si="13"/>
        <v>0.35594999999999999</v>
      </c>
      <c r="AN13" s="101">
        <f t="shared" si="23"/>
        <v>1.0359500000000001</v>
      </c>
      <c r="AO13" s="100">
        <f t="shared" si="14"/>
        <v>7.5699559120404637E-3</v>
      </c>
      <c r="AP13" s="98">
        <f t="shared" si="15"/>
        <v>0.13702500000000001</v>
      </c>
      <c r="AQ13" s="101">
        <f t="shared" si="16"/>
        <v>9.8999999999999991E-3</v>
      </c>
      <c r="AR13" s="100">
        <f t="shared" si="24"/>
        <v>2.2049509534395835</v>
      </c>
      <c r="AS13" s="98">
        <f t="shared" si="25"/>
        <v>40</v>
      </c>
      <c r="AT13" s="101">
        <f t="shared" si="26"/>
        <v>94.775610672141084</v>
      </c>
    </row>
    <row r="14" spans="1:46" x14ac:dyDescent="0.25">
      <c r="Q14" s="32">
        <v>7</v>
      </c>
      <c r="R14" s="100">
        <f t="shared" si="0"/>
        <v>100</v>
      </c>
      <c r="S14" s="98">
        <f t="shared" si="1"/>
        <v>0.46666666666666667</v>
      </c>
      <c r="T14" s="98">
        <f t="shared" si="2"/>
        <v>22</v>
      </c>
      <c r="U14" s="101">
        <f t="shared" si="3"/>
        <v>2.3569023569023568</v>
      </c>
      <c r="V14" s="100">
        <f t="shared" si="4"/>
        <v>1</v>
      </c>
      <c r="W14" s="98">
        <f t="shared" si="5"/>
        <v>0.49742311171287135</v>
      </c>
      <c r="X14" s="101">
        <f t="shared" si="6"/>
        <v>1.0490525881636837E-2</v>
      </c>
      <c r="Y14" s="100">
        <f t="shared" si="7"/>
        <v>6.652467147527763</v>
      </c>
      <c r="Z14" s="98">
        <f t="shared" si="17"/>
        <v>6.652467147527763</v>
      </c>
      <c r="AA14" s="98">
        <f t="shared" si="18"/>
        <v>2.7372662841992592</v>
      </c>
      <c r="AB14" s="98">
        <v>0</v>
      </c>
      <c r="AC14" s="98">
        <f t="shared" si="8"/>
        <v>8.3168156487815632E-3</v>
      </c>
      <c r="AD14" s="101">
        <f t="shared" si="19"/>
        <v>8.3168156487815632E-3</v>
      </c>
      <c r="AE14" s="100">
        <f t="shared" si="27"/>
        <v>1.1723777043737709</v>
      </c>
      <c r="AF14" s="98">
        <f t="shared" si="20"/>
        <v>2.7088508363578612</v>
      </c>
      <c r="AG14" s="98">
        <f t="shared" si="9"/>
        <v>3.4488002412092413E-2</v>
      </c>
      <c r="AH14" s="98">
        <f t="shared" si="10"/>
        <v>1.1439607695209355</v>
      </c>
      <c r="AI14" s="101">
        <f t="shared" si="21"/>
        <v>1.1784487719330279</v>
      </c>
      <c r="AJ14" s="100">
        <f t="shared" si="22"/>
        <v>2.4725145175575038E-2</v>
      </c>
      <c r="AK14" s="98">
        <f t="shared" si="11"/>
        <v>0.39338766754607057</v>
      </c>
      <c r="AL14" s="98">
        <f t="shared" si="12"/>
        <v>0.79333333333333333</v>
      </c>
      <c r="AM14" s="98">
        <f t="shared" si="13"/>
        <v>0.35594999999999999</v>
      </c>
      <c r="AN14" s="101">
        <f t="shared" si="23"/>
        <v>1.1492833333333334</v>
      </c>
      <c r="AO14" s="100">
        <f t="shared" si="14"/>
        <v>9.5392347097276887E-3</v>
      </c>
      <c r="AP14" s="98">
        <f t="shared" si="15"/>
        <v>0.13702500000000001</v>
      </c>
      <c r="AQ14" s="101">
        <f t="shared" si="16"/>
        <v>9.8999999999999991E-3</v>
      </c>
      <c r="AR14" s="100">
        <f t="shared" si="24"/>
        <v>2.4925131556248705</v>
      </c>
      <c r="AS14" s="98">
        <f t="shared" si="25"/>
        <v>46.666666666666664</v>
      </c>
      <c r="AT14" s="101">
        <f t="shared" si="26"/>
        <v>94.929709639918315</v>
      </c>
    </row>
    <row r="15" spans="1:46" x14ac:dyDescent="0.25">
      <c r="O15">
        <f>0.205*2.5/(Lm*Fsw)</f>
        <v>0.31155015197568386</v>
      </c>
      <c r="Q15" s="32">
        <v>8</v>
      </c>
      <c r="R15" s="100">
        <f t="shared" si="0"/>
        <v>100</v>
      </c>
      <c r="S15" s="98">
        <f t="shared" si="1"/>
        <v>0.53333333333333333</v>
      </c>
      <c r="T15" s="98">
        <f t="shared" si="2"/>
        <v>22</v>
      </c>
      <c r="U15" s="101">
        <f t="shared" si="3"/>
        <v>2.6936026936026938</v>
      </c>
      <c r="V15" s="100">
        <f t="shared" si="4"/>
        <v>1</v>
      </c>
      <c r="W15" s="98">
        <f t="shared" si="5"/>
        <v>0.53176767436929839</v>
      </c>
      <c r="X15" s="101">
        <f t="shared" si="6"/>
        <v>1.1214843901762767E-2</v>
      </c>
      <c r="Y15" s="100">
        <f t="shared" si="7"/>
        <v>7.1117865265194924</v>
      </c>
      <c r="Z15" s="98">
        <f t="shared" si="17"/>
        <v>7.1117865265194924</v>
      </c>
      <c r="AA15" s="98">
        <f t="shared" si="18"/>
        <v>3.0255964945699314</v>
      </c>
      <c r="AB15" s="98">
        <v>0</v>
      </c>
      <c r="AC15" s="98">
        <f t="shared" si="8"/>
        <v>1.0161199904228783E-2</v>
      </c>
      <c r="AD15" s="101">
        <f t="shared" si="19"/>
        <v>1.0161199904228783E-2</v>
      </c>
      <c r="AE15" s="100">
        <f t="shared" si="27"/>
        <v>1.4323708400519823</v>
      </c>
      <c r="AF15" s="98">
        <f t="shared" si="20"/>
        <v>2.9941879027654554</v>
      </c>
      <c r="AG15" s="98">
        <f t="shared" si="9"/>
        <v>4.2136257626214882E-2</v>
      </c>
      <c r="AH15" s="98">
        <f t="shared" si="10"/>
        <v>1.3073837365953553</v>
      </c>
      <c r="AI15" s="101">
        <f t="shared" si="21"/>
        <v>1.3495199942215703</v>
      </c>
      <c r="AJ15" s="100">
        <f t="shared" si="22"/>
        <v>3.0208333742121934E-2</v>
      </c>
      <c r="AK15" s="98">
        <f t="shared" si="11"/>
        <v>0.43482519578200801</v>
      </c>
      <c r="AL15" s="98">
        <f t="shared" si="12"/>
        <v>0.90666666666666662</v>
      </c>
      <c r="AM15" s="98">
        <f t="shared" si="13"/>
        <v>0.35594999999999999</v>
      </c>
      <c r="AN15" s="101">
        <f t="shared" si="23"/>
        <v>1.2626166666666667</v>
      </c>
      <c r="AO15" s="100">
        <f t="shared" si="14"/>
        <v>1.1654709556187094E-2</v>
      </c>
      <c r="AP15" s="98">
        <f t="shared" si="15"/>
        <v>0.13702500000000001</v>
      </c>
      <c r="AQ15" s="101">
        <f t="shared" si="16"/>
        <v>9.8999999999999991E-3</v>
      </c>
      <c r="AR15" s="100">
        <f t="shared" si="24"/>
        <v>2.780877570348653</v>
      </c>
      <c r="AS15" s="98">
        <f t="shared" si="25"/>
        <v>53.333333333333336</v>
      </c>
      <c r="AT15" s="101">
        <f t="shared" si="26"/>
        <v>95.044254342056192</v>
      </c>
    </row>
    <row r="16" spans="1:46" x14ac:dyDescent="0.25">
      <c r="Q16" s="32">
        <v>9</v>
      </c>
      <c r="R16" s="100">
        <f t="shared" si="0"/>
        <v>100</v>
      </c>
      <c r="S16" s="98">
        <f t="shared" si="1"/>
        <v>0.6</v>
      </c>
      <c r="T16" s="98">
        <f t="shared" si="2"/>
        <v>22</v>
      </c>
      <c r="U16" s="101">
        <f t="shared" si="3"/>
        <v>3.0303030303030303</v>
      </c>
      <c r="V16" s="100">
        <f t="shared" si="4"/>
        <v>1</v>
      </c>
      <c r="W16" s="98">
        <f t="shared" si="5"/>
        <v>0.56402479284349616</v>
      </c>
      <c r="X16" s="101">
        <f t="shared" si="6"/>
        <v>1.189513825932758E-2</v>
      </c>
      <c r="Y16" s="100">
        <f t="shared" si="7"/>
        <v>7.5431887188795841</v>
      </c>
      <c r="Z16" s="98">
        <f t="shared" ref="Z16:Z79" si="28">CHOOSE(V16,Y16,U16+(0.5*Y16))</f>
        <v>7.5431887188795841</v>
      </c>
      <c r="AA16" s="98">
        <f t="shared" ref="AA16:AA79" si="29">CHOOSE(V16,Z16*SQRT((W16+X16)/3),SQRT((U16^2)+((Y16^2)/12)))</f>
        <v>3.3050299558955025</v>
      </c>
      <c r="AB16" s="98">
        <v>0</v>
      </c>
      <c r="AC16" s="98">
        <f t="shared" si="8"/>
        <v>1.2124777540396956E-2</v>
      </c>
      <c r="AD16" s="101">
        <f t="shared" si="19"/>
        <v>1.2124777540396956E-2</v>
      </c>
      <c r="AE16" s="100">
        <f t="shared" si="27"/>
        <v>1.7091660389196852</v>
      </c>
      <c r="AF16" s="98">
        <f t="shared" si="20"/>
        <v>3.2707205769110312</v>
      </c>
      <c r="AG16" s="98">
        <f t="shared" si="9"/>
        <v>5.0278781533477382E-2</v>
      </c>
      <c r="AH16" s="98">
        <f t="shared" si="10"/>
        <v>1.4708067036697743</v>
      </c>
      <c r="AI16" s="101">
        <f t="shared" si="21"/>
        <v>1.5210854852032516</v>
      </c>
      <c r="AJ16" s="100">
        <f t="shared" si="22"/>
        <v>3.6045873513113877E-2</v>
      </c>
      <c r="AK16" s="98">
        <f t="shared" si="11"/>
        <v>0.47498412303717952</v>
      </c>
      <c r="AL16" s="98">
        <f t="shared" si="12"/>
        <v>1.02</v>
      </c>
      <c r="AM16" s="98">
        <f t="shared" si="13"/>
        <v>0.35594999999999999</v>
      </c>
      <c r="AN16" s="101">
        <f t="shared" si="23"/>
        <v>1.37595</v>
      </c>
      <c r="AO16" s="100">
        <f t="shared" si="14"/>
        <v>1.3906897019897998E-2</v>
      </c>
      <c r="AP16" s="98">
        <f t="shared" si="15"/>
        <v>0.13702500000000001</v>
      </c>
      <c r="AQ16" s="101">
        <f t="shared" si="16"/>
        <v>9.8999999999999991E-3</v>
      </c>
      <c r="AR16" s="100">
        <f t="shared" si="24"/>
        <v>3.0699921597635464</v>
      </c>
      <c r="AS16" s="98">
        <f t="shared" si="25"/>
        <v>60</v>
      </c>
      <c r="AT16" s="101">
        <f t="shared" si="26"/>
        <v>95.132404405589739</v>
      </c>
    </row>
    <row r="17" spans="17:46" x14ac:dyDescent="0.25">
      <c r="Q17" s="32">
        <v>10</v>
      </c>
      <c r="R17" s="100">
        <f t="shared" si="0"/>
        <v>100</v>
      </c>
      <c r="S17" s="98">
        <f t="shared" si="1"/>
        <v>0.66666666666666663</v>
      </c>
      <c r="T17" s="98">
        <f t="shared" si="2"/>
        <v>22</v>
      </c>
      <c r="U17" s="101">
        <f t="shared" si="3"/>
        <v>3.3670033670033663</v>
      </c>
      <c r="V17" s="100">
        <f t="shared" si="4"/>
        <v>1</v>
      </c>
      <c r="W17" s="98">
        <f t="shared" si="5"/>
        <v>0.59453433406336198</v>
      </c>
      <c r="X17" s="101">
        <f t="shared" si="6"/>
        <v>1.2538576660695263E-2</v>
      </c>
      <c r="Y17" s="100">
        <f t="shared" si="7"/>
        <v>7.9512190573823487</v>
      </c>
      <c r="Z17" s="98">
        <f t="shared" si="28"/>
        <v>7.9512190573823487</v>
      </c>
      <c r="AA17" s="98">
        <f t="shared" si="29"/>
        <v>3.57679062121117</v>
      </c>
      <c r="AB17" s="98">
        <v>0</v>
      </c>
      <c r="AC17" s="98">
        <f t="shared" si="8"/>
        <v>1.4200708574262448E-2</v>
      </c>
      <c r="AD17" s="101">
        <f t="shared" si="19"/>
        <v>1.4200708574262448E-2</v>
      </c>
      <c r="AE17" s="100">
        <f t="shared" si="27"/>
        <v>2.001799104590444</v>
      </c>
      <c r="AF17" s="98">
        <f t="shared" si="20"/>
        <v>3.539660106024058</v>
      </c>
      <c r="AG17" s="98">
        <f t="shared" si="9"/>
        <v>5.8887210231037761E-2</v>
      </c>
      <c r="AH17" s="98">
        <f t="shared" si="10"/>
        <v>1.6342296707441935</v>
      </c>
      <c r="AI17" s="101">
        <f t="shared" si="21"/>
        <v>1.6931168809752313</v>
      </c>
      <c r="AJ17" s="100">
        <f t="shared" si="22"/>
        <v>4.221742983399078E-2</v>
      </c>
      <c r="AK17" s="98">
        <f t="shared" si="11"/>
        <v>0.51404035036749662</v>
      </c>
      <c r="AL17" s="98">
        <f t="shared" si="12"/>
        <v>1.1333333333333333</v>
      </c>
      <c r="AM17" s="98">
        <f t="shared" si="13"/>
        <v>0.35594999999999999</v>
      </c>
      <c r="AN17" s="101">
        <f t="shared" si="23"/>
        <v>1.4892833333333333</v>
      </c>
      <c r="AO17" s="100">
        <f t="shared" si="14"/>
        <v>1.6287951766031719E-2</v>
      </c>
      <c r="AP17" s="98">
        <f t="shared" si="15"/>
        <v>0.13702500000000001</v>
      </c>
      <c r="AQ17" s="101">
        <f t="shared" si="16"/>
        <v>9.8999999999999991E-3</v>
      </c>
      <c r="AR17" s="100">
        <f t="shared" si="24"/>
        <v>3.3598138746488591</v>
      </c>
      <c r="AS17" s="98">
        <f t="shared" si="25"/>
        <v>66.666666666666657</v>
      </c>
      <c r="AT17" s="101">
        <f t="shared" si="26"/>
        <v>95.202080914709725</v>
      </c>
    </row>
    <row r="18" spans="17:46" x14ac:dyDescent="0.25">
      <c r="Q18" s="32">
        <v>11</v>
      </c>
      <c r="R18" s="100">
        <f t="shared" si="0"/>
        <v>100</v>
      </c>
      <c r="S18" s="98">
        <f t="shared" si="1"/>
        <v>0.73333333333333328</v>
      </c>
      <c r="T18" s="98">
        <f t="shared" si="2"/>
        <v>22</v>
      </c>
      <c r="U18" s="101">
        <f t="shared" si="3"/>
        <v>3.7037037037037033</v>
      </c>
      <c r="V18" s="100">
        <f t="shared" si="4"/>
        <v>1</v>
      </c>
      <c r="W18" s="98">
        <f t="shared" si="5"/>
        <v>0.62355287010660276</v>
      </c>
      <c r="X18" s="101">
        <f t="shared" si="6"/>
        <v>1.3150570145196942E-2</v>
      </c>
      <c r="Y18" s="100">
        <f t="shared" si="7"/>
        <v>8.3393089011217398</v>
      </c>
      <c r="Z18" s="98">
        <f t="shared" si="28"/>
        <v>8.3393089011217398</v>
      </c>
      <c r="AA18" s="98">
        <f t="shared" si="29"/>
        <v>3.8418290129972701</v>
      </c>
      <c r="AB18" s="98">
        <v>0</v>
      </c>
      <c r="AC18" s="98">
        <f t="shared" si="8"/>
        <v>1.6383211683269411E-2</v>
      </c>
      <c r="AD18" s="101">
        <f t="shared" si="19"/>
        <v>1.6383211683269411E-2</v>
      </c>
      <c r="AE18" s="100">
        <f t="shared" si="27"/>
        <v>2.3094550744688989</v>
      </c>
      <c r="AF18" s="98">
        <f t="shared" si="20"/>
        <v>3.8019471452504021</v>
      </c>
      <c r="AG18" s="98">
        <f t="shared" si="9"/>
        <v>6.7937569847805107E-2</v>
      </c>
      <c r="AH18" s="98">
        <f t="shared" si="10"/>
        <v>1.7976526378186131</v>
      </c>
      <c r="AI18" s="101">
        <f t="shared" si="21"/>
        <v>1.8655902076664181</v>
      </c>
      <c r="AJ18" s="100">
        <f t="shared" si="22"/>
        <v>4.8705815352581262E-2</v>
      </c>
      <c r="AK18" s="98">
        <f t="shared" si="11"/>
        <v>0.55213048261248421</v>
      </c>
      <c r="AL18" s="98">
        <f t="shared" si="12"/>
        <v>1.2466666666666666</v>
      </c>
      <c r="AM18" s="98">
        <f t="shared" si="13"/>
        <v>0.35594999999999999</v>
      </c>
      <c r="AN18" s="101">
        <f t="shared" si="23"/>
        <v>1.6026166666666666</v>
      </c>
      <c r="AO18" s="100">
        <f t="shared" si="14"/>
        <v>1.8791242723860985E-2</v>
      </c>
      <c r="AP18" s="98">
        <f t="shared" si="15"/>
        <v>0.13702500000000001</v>
      </c>
      <c r="AQ18" s="101">
        <f t="shared" si="16"/>
        <v>9.8999999999999991E-3</v>
      </c>
      <c r="AR18" s="100">
        <f t="shared" si="24"/>
        <v>3.6503063287402151</v>
      </c>
      <c r="AS18" s="98">
        <f t="shared" si="25"/>
        <v>73.333333333333329</v>
      </c>
      <c r="AT18" s="101">
        <f t="shared" si="26"/>
        <v>95.258334959527048</v>
      </c>
    </row>
    <row r="19" spans="17:46" x14ac:dyDescent="0.25">
      <c r="Q19" s="32">
        <v>12</v>
      </c>
      <c r="R19" s="100">
        <f t="shared" si="0"/>
        <v>100</v>
      </c>
      <c r="S19" s="98">
        <f t="shared" si="1"/>
        <v>0.8</v>
      </c>
      <c r="T19" s="98">
        <f t="shared" si="2"/>
        <v>22</v>
      </c>
      <c r="U19" s="101">
        <f t="shared" si="3"/>
        <v>4.0404040404040407</v>
      </c>
      <c r="V19" s="100">
        <f t="shared" si="4"/>
        <v>1</v>
      </c>
      <c r="W19" s="98">
        <f t="shared" si="5"/>
        <v>0.65127973195563083</v>
      </c>
      <c r="X19" s="101">
        <f t="shared" si="6"/>
        <v>1.3735322552141188E-2</v>
      </c>
      <c r="Y19" s="100">
        <f t="shared" si="7"/>
        <v>8.7101240747865525</v>
      </c>
      <c r="Z19" s="98">
        <f t="shared" si="28"/>
        <v>8.7101240747865525</v>
      </c>
      <c r="AA19" s="98">
        <f t="shared" si="29"/>
        <v>4.1009025819124698</v>
      </c>
      <c r="AB19" s="98">
        <v>0</v>
      </c>
      <c r="AC19" s="98">
        <f t="shared" si="8"/>
        <v>1.8667316204833362E-2</v>
      </c>
      <c r="AD19" s="101">
        <f t="shared" si="19"/>
        <v>1.8667316204833362E-2</v>
      </c>
      <c r="AE19" s="100">
        <f t="shared" si="27"/>
        <v>2.6314332604267916</v>
      </c>
      <c r="AF19" s="98">
        <f t="shared" si="20"/>
        <v>4.0583312821848372</v>
      </c>
      <c r="AG19" s="98">
        <f t="shared" si="9"/>
        <v>7.7409248141012119E-2</v>
      </c>
      <c r="AH19" s="98">
        <f t="shared" si="10"/>
        <v>1.9610756048930327</v>
      </c>
      <c r="AI19" s="101">
        <f t="shared" si="21"/>
        <v>2.0384848530340447</v>
      </c>
      <c r="AJ19" s="100">
        <f t="shared" si="22"/>
        <v>5.5496252735923998E-2</v>
      </c>
      <c r="AK19" s="98">
        <f t="shared" si="11"/>
        <v>0.58936337719299825</v>
      </c>
      <c r="AL19" s="98">
        <f t="shared" si="12"/>
        <v>1.36</v>
      </c>
      <c r="AM19" s="98">
        <f t="shared" si="13"/>
        <v>0.35594999999999999</v>
      </c>
      <c r="AN19" s="101">
        <f t="shared" si="23"/>
        <v>1.7159500000000001</v>
      </c>
      <c r="AO19" s="100">
        <f t="shared" si="14"/>
        <v>2.1411068634748034E-2</v>
      </c>
      <c r="AP19" s="98">
        <f t="shared" si="15"/>
        <v>0.13702500000000001</v>
      </c>
      <c r="AQ19" s="101">
        <f t="shared" si="16"/>
        <v>9.8999999999999991E-3</v>
      </c>
      <c r="AR19" s="100">
        <f t="shared" si="24"/>
        <v>3.9414382378736259</v>
      </c>
      <c r="AS19" s="98">
        <f t="shared" si="25"/>
        <v>80</v>
      </c>
      <c r="AT19" s="101">
        <f t="shared" si="26"/>
        <v>95.30453811536519</v>
      </c>
    </row>
    <row r="20" spans="17:46" x14ac:dyDescent="0.25">
      <c r="Q20" s="32">
        <v>13</v>
      </c>
      <c r="R20" s="100">
        <f t="shared" si="0"/>
        <v>100</v>
      </c>
      <c r="S20" s="98">
        <f t="shared" si="1"/>
        <v>0.8666666666666667</v>
      </c>
      <c r="T20" s="98">
        <f t="shared" si="2"/>
        <v>22</v>
      </c>
      <c r="U20" s="101">
        <f t="shared" si="3"/>
        <v>4.3771043771043772</v>
      </c>
      <c r="V20" s="100">
        <f t="shared" si="4"/>
        <v>1</v>
      </c>
      <c r="W20" s="98">
        <f t="shared" si="5"/>
        <v>0.67787343707672665</v>
      </c>
      <c r="X20" s="101">
        <f t="shared" si="6"/>
        <v>1.4296176974246349E-2</v>
      </c>
      <c r="Y20" s="100">
        <f t="shared" si="7"/>
        <v>9.0657845688072864</v>
      </c>
      <c r="Z20" s="98">
        <f t="shared" si="28"/>
        <v>9.0657845688072864</v>
      </c>
      <c r="AA20" s="98">
        <f t="shared" si="29"/>
        <v>4.3546277150771742</v>
      </c>
      <c r="AB20" s="98">
        <v>0</v>
      </c>
      <c r="AC20" s="98">
        <f t="shared" si="8"/>
        <v>2.104868861597926E-2</v>
      </c>
      <c r="AD20" s="101">
        <f t="shared" si="19"/>
        <v>2.104868861597926E-2</v>
      </c>
      <c r="AE20" s="100">
        <f t="shared" si="27"/>
        <v>2.9671227885513289</v>
      </c>
      <c r="AF20" s="98">
        <f t="shared" si="20"/>
        <v>4.3094225052586195</v>
      </c>
      <c r="AG20" s="98">
        <f t="shared" si="9"/>
        <v>8.7284274945498536E-2</v>
      </c>
      <c r="AH20" s="98">
        <f t="shared" si="10"/>
        <v>2.1244985719674521</v>
      </c>
      <c r="AI20" s="101">
        <f t="shared" si="21"/>
        <v>2.2117828469129508</v>
      </c>
      <c r="AJ20" s="100">
        <f t="shared" si="22"/>
        <v>6.2575858809832505E-2</v>
      </c>
      <c r="AK20" s="98">
        <f t="shared" si="11"/>
        <v>0.62582761850910296</v>
      </c>
      <c r="AL20" s="98">
        <f t="shared" si="12"/>
        <v>1.4733333333333334</v>
      </c>
      <c r="AM20" s="98">
        <f t="shared" si="13"/>
        <v>0.35594999999999999</v>
      </c>
      <c r="AN20" s="101">
        <f t="shared" si="23"/>
        <v>1.8292833333333334</v>
      </c>
      <c r="AO20" s="100">
        <f t="shared" si="14"/>
        <v>2.4142459027478316E-2</v>
      </c>
      <c r="AP20" s="98">
        <f t="shared" si="15"/>
        <v>0.13702500000000001</v>
      </c>
      <c r="AQ20" s="101">
        <f t="shared" si="16"/>
        <v>9.8999999999999991E-3</v>
      </c>
      <c r="AR20" s="100">
        <f t="shared" si="24"/>
        <v>4.2331823278897422</v>
      </c>
      <c r="AS20" s="98">
        <f t="shared" si="25"/>
        <v>86.666666666666671</v>
      </c>
      <c r="AT20" s="101">
        <f t="shared" si="26"/>
        <v>95.343026006409275</v>
      </c>
    </row>
    <row r="21" spans="17:46" x14ac:dyDescent="0.25">
      <c r="Q21" s="32">
        <v>14</v>
      </c>
      <c r="R21" s="100">
        <f t="shared" si="0"/>
        <v>100</v>
      </c>
      <c r="S21" s="98">
        <f t="shared" si="1"/>
        <v>0.93333333333333335</v>
      </c>
      <c r="T21" s="98">
        <f t="shared" si="2"/>
        <v>22</v>
      </c>
      <c r="U21" s="101">
        <f t="shared" si="3"/>
        <v>4.7138047138047137</v>
      </c>
      <c r="V21" s="100">
        <f t="shared" si="4"/>
        <v>1</v>
      </c>
      <c r="W21" s="98">
        <f t="shared" si="5"/>
        <v>0.70346251082216982</v>
      </c>
      <c r="X21" s="101">
        <f t="shared" si="6"/>
        <v>1.4835843978236785E-2</v>
      </c>
      <c r="Y21" s="100">
        <f t="shared" si="7"/>
        <v>9.4080092632752184</v>
      </c>
      <c r="Z21" s="98">
        <f t="shared" si="28"/>
        <v>9.4080092632752184</v>
      </c>
      <c r="AA21" s="98">
        <f t="shared" si="29"/>
        <v>4.6035148119560247</v>
      </c>
      <c r="AB21" s="98">
        <v>0</v>
      </c>
      <c r="AC21" s="98">
        <f t="shared" si="8"/>
        <v>2.3523506972527353E-2</v>
      </c>
      <c r="AD21" s="101">
        <f t="shared" si="19"/>
        <v>2.3523506972527353E-2</v>
      </c>
      <c r="AE21" s="100">
        <f t="shared" si="27"/>
        <v>3.3159848994984435</v>
      </c>
      <c r="AF21" s="98">
        <f t="shared" si="20"/>
        <v>4.5557259155007026</v>
      </c>
      <c r="AG21" s="98">
        <f t="shared" si="9"/>
        <v>9.7546801500674171E-2</v>
      </c>
      <c r="AH21" s="98">
        <f t="shared" si="10"/>
        <v>2.287921539041871</v>
      </c>
      <c r="AI21" s="101">
        <f t="shared" si="21"/>
        <v>2.3854683405425452</v>
      </c>
      <c r="AJ21" s="100">
        <f t="shared" si="22"/>
        <v>6.9933271277883832E-2</v>
      </c>
      <c r="AK21" s="98">
        <f t="shared" si="11"/>
        <v>0.66159655888902136</v>
      </c>
      <c r="AL21" s="98">
        <f t="shared" si="12"/>
        <v>1.5866666666666667</v>
      </c>
      <c r="AM21" s="98">
        <f t="shared" si="13"/>
        <v>0.35594999999999999</v>
      </c>
      <c r="AN21" s="101">
        <f t="shared" si="23"/>
        <v>1.9426166666666667</v>
      </c>
      <c r="AO21" s="100">
        <f t="shared" si="14"/>
        <v>2.698103020231413E-2</v>
      </c>
      <c r="AP21" s="98">
        <f t="shared" si="15"/>
        <v>0.13702500000000001</v>
      </c>
      <c r="AQ21" s="101">
        <f t="shared" si="16"/>
        <v>9.8999999999999991E-3</v>
      </c>
      <c r="AR21" s="100">
        <f t="shared" si="24"/>
        <v>4.5255145443840537</v>
      </c>
      <c r="AS21" s="98">
        <f t="shared" si="25"/>
        <v>93.333333333333329</v>
      </c>
      <c r="AT21" s="101">
        <f t="shared" si="26"/>
        <v>95.375467172841581</v>
      </c>
    </row>
    <row r="22" spans="17:46" x14ac:dyDescent="0.25">
      <c r="Q22" s="32">
        <v>15</v>
      </c>
      <c r="R22" s="100">
        <f t="shared" si="0"/>
        <v>100</v>
      </c>
      <c r="S22" s="98">
        <f t="shared" si="1"/>
        <v>1</v>
      </c>
      <c r="T22" s="98">
        <f t="shared" si="2"/>
        <v>22</v>
      </c>
      <c r="U22" s="101">
        <f t="shared" si="3"/>
        <v>5.0505050505050502</v>
      </c>
      <c r="V22" s="100">
        <f t="shared" si="4"/>
        <v>1</v>
      </c>
      <c r="W22" s="98">
        <f t="shared" si="5"/>
        <v>0.72815287651031635</v>
      </c>
      <c r="X22" s="101">
        <f t="shared" si="6"/>
        <v>1.5356557459736799E-2</v>
      </c>
      <c r="Y22" s="100">
        <f t="shared" si="7"/>
        <v>9.738214761840096</v>
      </c>
      <c r="Z22" s="98">
        <f t="shared" si="28"/>
        <v>9.738214761840096</v>
      </c>
      <c r="AA22" s="98">
        <f t="shared" si="29"/>
        <v>4.8479927577289716</v>
      </c>
      <c r="AB22" s="98">
        <v>0</v>
      </c>
      <c r="AC22" s="98">
        <f t="shared" si="8"/>
        <v>2.6088367494681745E-2</v>
      </c>
      <c r="AD22" s="101">
        <f t="shared" si="19"/>
        <v>2.6088367494681745E-2</v>
      </c>
      <c r="AE22" s="100">
        <f t="shared" si="27"/>
        <v>3.6775397803551328</v>
      </c>
      <c r="AF22" s="98">
        <f t="shared" si="20"/>
        <v>4.7976659458517616</v>
      </c>
      <c r="AG22" s="98">
        <f t="shared" si="9"/>
        <v>0.1081827130815327</v>
      </c>
      <c r="AH22" s="98">
        <f t="shared" si="10"/>
        <v>2.4513445061162908</v>
      </c>
      <c r="AI22" s="101">
        <f t="shared" si="21"/>
        <v>2.5595272191978236</v>
      </c>
      <c r="AJ22" s="100">
        <f t="shared" si="22"/>
        <v>7.7558371008771707E-2</v>
      </c>
      <c r="AK22" s="98">
        <f t="shared" si="11"/>
        <v>0.69673183579256481</v>
      </c>
      <c r="AL22" s="98">
        <f t="shared" si="12"/>
        <v>1.7</v>
      </c>
      <c r="AM22" s="98">
        <f t="shared" si="13"/>
        <v>0.35594999999999999</v>
      </c>
      <c r="AN22" s="101">
        <f t="shared" si="23"/>
        <v>2.0559500000000002</v>
      </c>
      <c r="AO22" s="100">
        <f t="shared" si="14"/>
        <v>2.9922878086381381E-2</v>
      </c>
      <c r="AP22" s="98">
        <f t="shared" si="15"/>
        <v>0.13702500000000001</v>
      </c>
      <c r="AQ22" s="101">
        <f t="shared" si="16"/>
        <v>9.8999999999999991E-3</v>
      </c>
      <c r="AR22" s="100">
        <f t="shared" si="24"/>
        <v>4.818413464778887</v>
      </c>
      <c r="AS22" s="98">
        <f t="shared" si="25"/>
        <v>100</v>
      </c>
      <c r="AT22" s="101">
        <f t="shared" si="26"/>
        <v>95.403084910841571</v>
      </c>
    </row>
    <row r="23" spans="17:46" x14ac:dyDescent="0.25">
      <c r="Q23" s="32">
        <v>16</v>
      </c>
      <c r="R23" s="100">
        <f t="shared" si="0"/>
        <v>100</v>
      </c>
      <c r="S23" s="98">
        <f t="shared" si="1"/>
        <v>1.0666666666666667</v>
      </c>
      <c r="T23" s="98">
        <f t="shared" si="2"/>
        <v>22</v>
      </c>
      <c r="U23" s="101">
        <f t="shared" si="3"/>
        <v>5.3872053872053876</v>
      </c>
      <c r="V23" s="100">
        <f t="shared" si="4"/>
        <v>1</v>
      </c>
      <c r="W23" s="98">
        <f t="shared" si="5"/>
        <v>0.75203305712466151</v>
      </c>
      <c r="X23" s="101">
        <f t="shared" si="6"/>
        <v>1.5860184345770103E-2</v>
      </c>
      <c r="Y23" s="100">
        <f t="shared" si="7"/>
        <v>10.057584958506112</v>
      </c>
      <c r="Z23" s="98">
        <f t="shared" si="28"/>
        <v>10.057584958506112</v>
      </c>
      <c r="AA23" s="98">
        <f t="shared" si="29"/>
        <v>5.0884264925761205</v>
      </c>
      <c r="AB23" s="98">
        <v>0</v>
      </c>
      <c r="AC23" s="98">
        <f t="shared" si="8"/>
        <v>2.8740213429089077E-2</v>
      </c>
      <c r="AD23" s="101">
        <f t="shared" si="19"/>
        <v>2.8740213429089077E-2</v>
      </c>
      <c r="AE23" s="100">
        <f t="shared" si="27"/>
        <v>4.0513565366985134</v>
      </c>
      <c r="AF23" s="98">
        <f t="shared" si="20"/>
        <v>5.0356037480630178</v>
      </c>
      <c r="AG23" s="98">
        <f t="shared" si="9"/>
        <v>0.11917933400527968</v>
      </c>
      <c r="AH23" s="98">
        <f t="shared" si="10"/>
        <v>2.6147674731907107</v>
      </c>
      <c r="AI23" s="101">
        <f t="shared" si="21"/>
        <v>2.7339468071959905</v>
      </c>
      <c r="AJ23" s="100">
        <f t="shared" si="22"/>
        <v>8.5442070549603247E-2</v>
      </c>
      <c r="AK23" s="98">
        <f t="shared" si="11"/>
        <v>0.73128589679017042</v>
      </c>
      <c r="AL23" s="98">
        <f t="shared" si="12"/>
        <v>1.8133333333333332</v>
      </c>
      <c r="AM23" s="98">
        <f t="shared" si="13"/>
        <v>0.35594999999999999</v>
      </c>
      <c r="AN23" s="101">
        <f t="shared" si="23"/>
        <v>2.1692833333333335</v>
      </c>
      <c r="AO23" s="100">
        <f t="shared" si="14"/>
        <v>3.2964496639758208E-2</v>
      </c>
      <c r="AP23" s="98">
        <f t="shared" si="15"/>
        <v>0.13702500000000001</v>
      </c>
      <c r="AQ23" s="101">
        <f t="shared" si="16"/>
        <v>9.8999999999999991E-3</v>
      </c>
      <c r="AR23" s="100">
        <f t="shared" si="24"/>
        <v>5.1118598505981723</v>
      </c>
      <c r="AS23" s="98">
        <f t="shared" si="25"/>
        <v>106.66666666666667</v>
      </c>
      <c r="AT23" s="101">
        <f t="shared" si="26"/>
        <v>95.426796174658264</v>
      </c>
    </row>
    <row r="24" spans="17:46" x14ac:dyDescent="0.25">
      <c r="Q24" s="32">
        <v>17</v>
      </c>
      <c r="R24" s="100">
        <f t="shared" si="0"/>
        <v>100</v>
      </c>
      <c r="S24" s="98">
        <f t="shared" si="1"/>
        <v>1.1333333333333333</v>
      </c>
      <c r="T24" s="98">
        <f t="shared" si="2"/>
        <v>22</v>
      </c>
      <c r="U24" s="101">
        <f t="shared" si="3"/>
        <v>5.7239057239057232</v>
      </c>
      <c r="V24" s="100">
        <f t="shared" si="4"/>
        <v>1</v>
      </c>
      <c r="W24" s="98">
        <f t="shared" si="5"/>
        <v>0.77517793212028496</v>
      </c>
      <c r="X24" s="101">
        <f t="shared" si="6"/>
        <v>1.6348303824844469E-2</v>
      </c>
      <c r="Y24" s="100">
        <f t="shared" si="7"/>
        <v>10.367121280636029</v>
      </c>
      <c r="Z24" s="98">
        <f t="shared" si="28"/>
        <v>10.367121280636029</v>
      </c>
      <c r="AA24" s="98">
        <f t="shared" si="29"/>
        <v>5.3251299343442513</v>
      </c>
      <c r="AB24" s="98">
        <v>0</v>
      </c>
      <c r="AC24" s="98">
        <f t="shared" si="8"/>
        <v>3.1476279787590628E-2</v>
      </c>
      <c r="AD24" s="101">
        <f t="shared" si="19"/>
        <v>3.1476279787590628E-2</v>
      </c>
      <c r="AE24" s="100">
        <f t="shared" si="27"/>
        <v>4.4370454027087014</v>
      </c>
      <c r="AF24" s="98">
        <f t="shared" si="20"/>
        <v>5.2698499812130954</v>
      </c>
      <c r="AG24" s="98">
        <f t="shared" si="9"/>
        <v>0.13052519847511082</v>
      </c>
      <c r="AH24" s="98">
        <f t="shared" si="10"/>
        <v>2.7781904402651292</v>
      </c>
      <c r="AI24" s="101">
        <f t="shared" si="21"/>
        <v>2.9087156387402402</v>
      </c>
      <c r="AJ24" s="100">
        <f t="shared" si="22"/>
        <v>9.3576149839177086E-2</v>
      </c>
      <c r="AK24" s="98">
        <f t="shared" si="11"/>
        <v>0.76530385675073442</v>
      </c>
      <c r="AL24" s="98">
        <f t="shared" si="12"/>
        <v>1.9266666666666665</v>
      </c>
      <c r="AM24" s="98">
        <f t="shared" si="13"/>
        <v>0.35594999999999999</v>
      </c>
      <c r="AN24" s="101">
        <f t="shared" si="23"/>
        <v>2.2826166666666667</v>
      </c>
      <c r="AO24" s="100">
        <f t="shared" si="14"/>
        <v>3.6102714471839159E-2</v>
      </c>
      <c r="AP24" s="98">
        <f t="shared" si="15"/>
        <v>0.13702500000000001</v>
      </c>
      <c r="AQ24" s="101">
        <f t="shared" si="16"/>
        <v>9.8999999999999991E-3</v>
      </c>
      <c r="AR24" s="100">
        <f t="shared" si="24"/>
        <v>5.4058362996663369</v>
      </c>
      <c r="AS24" s="98">
        <f t="shared" si="25"/>
        <v>113.33333333333333</v>
      </c>
      <c r="AT24" s="101">
        <f t="shared" si="26"/>
        <v>95.447301580114839</v>
      </c>
    </row>
    <row r="25" spans="17:46" x14ac:dyDescent="0.25">
      <c r="Q25" s="32">
        <v>18</v>
      </c>
      <c r="R25" s="100">
        <f t="shared" si="0"/>
        <v>100</v>
      </c>
      <c r="S25" s="98">
        <f t="shared" si="1"/>
        <v>1.2</v>
      </c>
      <c r="T25" s="98">
        <f t="shared" si="2"/>
        <v>22</v>
      </c>
      <c r="U25" s="101">
        <f t="shared" si="3"/>
        <v>6.0606060606060606</v>
      </c>
      <c r="V25" s="100">
        <f t="shared" si="4"/>
        <v>2</v>
      </c>
      <c r="W25" s="98">
        <f t="shared" si="5"/>
        <v>0.78</v>
      </c>
      <c r="X25" s="101">
        <f t="shared" si="6"/>
        <v>0.21999999999999997</v>
      </c>
      <c r="Y25" s="100">
        <f t="shared" si="7"/>
        <v>10.43161094224924</v>
      </c>
      <c r="Z25" s="98">
        <f t="shared" si="28"/>
        <v>11.27641153173068</v>
      </c>
      <c r="AA25" s="98">
        <f t="shared" si="29"/>
        <v>6.767507275656186</v>
      </c>
      <c r="AB25" s="98">
        <v>0</v>
      </c>
      <c r="AC25" s="98">
        <f t="shared" si="8"/>
        <v>5.0837061745925956E-2</v>
      </c>
      <c r="AD25" s="101">
        <f t="shared" si="19"/>
        <v>5.0837061745925956E-2</v>
      </c>
      <c r="AE25" s="100">
        <f t="shared" si="27"/>
        <v>4.7272727272727275</v>
      </c>
      <c r="AF25" s="98">
        <f t="shared" si="20"/>
        <v>5.976900591972929</v>
      </c>
      <c r="AG25" s="98">
        <f t="shared" si="9"/>
        <v>0.16789970122573386</v>
      </c>
      <c r="AH25" s="98">
        <f t="shared" si="10"/>
        <v>2.9416134073395486</v>
      </c>
      <c r="AI25" s="101">
        <f t="shared" si="21"/>
        <v>3.1095131085652823</v>
      </c>
      <c r="AJ25" s="100">
        <f t="shared" si="22"/>
        <v>1.3333333333333333</v>
      </c>
      <c r="AK25" s="98">
        <f t="shared" si="11"/>
        <v>3.17424227804575</v>
      </c>
      <c r="AL25" s="98">
        <f t="shared" si="12"/>
        <v>2.04</v>
      </c>
      <c r="AM25" s="98">
        <f t="shared" si="13"/>
        <v>0.35594999999999999</v>
      </c>
      <c r="AN25" s="101">
        <f t="shared" si="23"/>
        <v>2.39595</v>
      </c>
      <c r="AO25" s="100">
        <f t="shared" si="14"/>
        <v>4.6440342892224255E-2</v>
      </c>
      <c r="AP25" s="98">
        <f t="shared" si="15"/>
        <v>0.13702500000000001</v>
      </c>
      <c r="AQ25" s="101">
        <f t="shared" si="16"/>
        <v>9.8999999999999991E-3</v>
      </c>
      <c r="AR25" s="100">
        <f t="shared" si="24"/>
        <v>5.7496655132034338</v>
      </c>
      <c r="AS25" s="98">
        <f t="shared" si="25"/>
        <v>120</v>
      </c>
      <c r="AT25" s="101">
        <f t="shared" si="26"/>
        <v>95.42768921910195</v>
      </c>
    </row>
    <row r="26" spans="17:46" x14ac:dyDescent="0.25">
      <c r="Q26" s="32">
        <v>19</v>
      </c>
      <c r="R26" s="100">
        <f t="shared" si="0"/>
        <v>100</v>
      </c>
      <c r="S26" s="98">
        <f t="shared" si="1"/>
        <v>1.2666666666666666</v>
      </c>
      <c r="T26" s="98">
        <f t="shared" si="2"/>
        <v>22</v>
      </c>
      <c r="U26" s="101">
        <f t="shared" si="3"/>
        <v>6.3973063973063962</v>
      </c>
      <c r="V26" s="100">
        <f t="shared" si="4"/>
        <v>2</v>
      </c>
      <c r="W26" s="98">
        <f t="shared" si="5"/>
        <v>0.78</v>
      </c>
      <c r="X26" s="101">
        <f t="shared" si="6"/>
        <v>0.21999999999999997</v>
      </c>
      <c r="Y26" s="100">
        <f t="shared" si="7"/>
        <v>10.43161094224924</v>
      </c>
      <c r="Z26" s="98">
        <f t="shared" si="28"/>
        <v>11.613111868431016</v>
      </c>
      <c r="AA26" s="98">
        <f t="shared" si="29"/>
        <v>7.0706250109323321</v>
      </c>
      <c r="AB26" s="98">
        <v>0</v>
      </c>
      <c r="AC26" s="98">
        <f t="shared" si="8"/>
        <v>5.5493049230196247E-2</v>
      </c>
      <c r="AD26" s="101">
        <f t="shared" si="19"/>
        <v>5.5493049230196247E-2</v>
      </c>
      <c r="AE26" s="100">
        <f t="shared" si="27"/>
        <v>4.9898989898989896</v>
      </c>
      <c r="AF26" s="98">
        <f t="shared" si="20"/>
        <v>6.2446069272031064</v>
      </c>
      <c r="AG26" s="98">
        <f t="shared" si="9"/>
        <v>0.1832770436737832</v>
      </c>
      <c r="AH26" s="98">
        <f t="shared" si="10"/>
        <v>3.105036374413968</v>
      </c>
      <c r="AI26" s="101">
        <f t="shared" si="21"/>
        <v>3.2883134180877511</v>
      </c>
      <c r="AJ26" s="100">
        <f t="shared" si="22"/>
        <v>1.407407407407407</v>
      </c>
      <c r="AK26" s="98">
        <f t="shared" si="11"/>
        <v>3.3164170983078716</v>
      </c>
      <c r="AL26" s="98">
        <f t="shared" si="12"/>
        <v>2.1533333333333333</v>
      </c>
      <c r="AM26" s="98">
        <f t="shared" si="13"/>
        <v>0.35594999999999999</v>
      </c>
      <c r="AN26" s="101">
        <f t="shared" si="23"/>
        <v>2.5092833333333333</v>
      </c>
      <c r="AO26" s="100">
        <f t="shared" si="14"/>
        <v>5.0693650377854921E-2</v>
      </c>
      <c r="AP26" s="98">
        <f t="shared" si="15"/>
        <v>0.13702500000000001</v>
      </c>
      <c r="AQ26" s="101">
        <f t="shared" si="16"/>
        <v>9.8999999999999991E-3</v>
      </c>
      <c r="AR26" s="100">
        <f t="shared" si="24"/>
        <v>6.050708451029136</v>
      </c>
      <c r="AS26" s="98">
        <f t="shared" si="25"/>
        <v>126.66666666666666</v>
      </c>
      <c r="AT26" s="101">
        <f t="shared" si="26"/>
        <v>95.44090708118415</v>
      </c>
    </row>
    <row r="27" spans="17:46" x14ac:dyDescent="0.25">
      <c r="Q27" s="32">
        <v>20</v>
      </c>
      <c r="R27" s="100">
        <f t="shared" si="0"/>
        <v>100</v>
      </c>
      <c r="S27" s="98">
        <f t="shared" si="1"/>
        <v>1.3333333333333333</v>
      </c>
      <c r="T27" s="98">
        <f t="shared" si="2"/>
        <v>22</v>
      </c>
      <c r="U27" s="101">
        <f t="shared" si="3"/>
        <v>6.7340067340067327</v>
      </c>
      <c r="V27" s="100">
        <f t="shared" si="4"/>
        <v>2</v>
      </c>
      <c r="W27" s="98">
        <f t="shared" si="5"/>
        <v>0.78</v>
      </c>
      <c r="X27" s="101">
        <f t="shared" si="6"/>
        <v>0.21999999999999997</v>
      </c>
      <c r="Y27" s="100">
        <f t="shared" si="7"/>
        <v>10.43161094224924</v>
      </c>
      <c r="Z27" s="98">
        <f t="shared" si="28"/>
        <v>11.949812205131352</v>
      </c>
      <c r="AA27" s="98">
        <f t="shared" si="29"/>
        <v>7.3766561257694887</v>
      </c>
      <c r="AB27" s="98">
        <v>0</v>
      </c>
      <c r="AC27" s="98">
        <f t="shared" si="8"/>
        <v>6.0400711713616308E-2</v>
      </c>
      <c r="AD27" s="101">
        <f t="shared" si="19"/>
        <v>6.0400711713616308E-2</v>
      </c>
      <c r="AE27" s="100">
        <f t="shared" si="27"/>
        <v>5.2525252525252517</v>
      </c>
      <c r="AF27" s="98">
        <f t="shared" si="20"/>
        <v>6.5148862895928561</v>
      </c>
      <c r="AG27" s="98">
        <f t="shared" si="9"/>
        <v>0.19948559382172737</v>
      </c>
      <c r="AH27" s="98">
        <f t="shared" si="10"/>
        <v>3.2684593414883869</v>
      </c>
      <c r="AI27" s="101">
        <f t="shared" si="21"/>
        <v>3.4679449353101144</v>
      </c>
      <c r="AJ27" s="100">
        <f t="shared" si="22"/>
        <v>1.481481481481481</v>
      </c>
      <c r="AK27" s="98">
        <f t="shared" si="11"/>
        <v>3.4599584147107247</v>
      </c>
      <c r="AL27" s="98">
        <f t="shared" si="12"/>
        <v>2.2666666666666666</v>
      </c>
      <c r="AM27" s="98">
        <f t="shared" si="13"/>
        <v>0.35594999999999999</v>
      </c>
      <c r="AN27" s="101">
        <f t="shared" si="23"/>
        <v>2.6226166666666666</v>
      </c>
      <c r="AO27" s="100">
        <f t="shared" si="14"/>
        <v>5.5176866376222461E-2</v>
      </c>
      <c r="AP27" s="98">
        <f t="shared" si="15"/>
        <v>0.13702500000000001</v>
      </c>
      <c r="AQ27" s="101">
        <f t="shared" si="16"/>
        <v>9.8999999999999991E-3</v>
      </c>
      <c r="AR27" s="100">
        <f t="shared" si="24"/>
        <v>6.353064180066621</v>
      </c>
      <c r="AS27" s="98">
        <f t="shared" si="25"/>
        <v>133.33333333333331</v>
      </c>
      <c r="AT27" s="101">
        <f t="shared" si="26"/>
        <v>95.451909210088132</v>
      </c>
    </row>
    <row r="28" spans="17:46" x14ac:dyDescent="0.25">
      <c r="Q28" s="32">
        <v>21</v>
      </c>
      <c r="R28" s="100">
        <f t="shared" si="0"/>
        <v>100</v>
      </c>
      <c r="S28" s="98">
        <f t="shared" si="1"/>
        <v>1.4</v>
      </c>
      <c r="T28" s="98">
        <f t="shared" si="2"/>
        <v>22</v>
      </c>
      <c r="U28" s="101">
        <f t="shared" si="3"/>
        <v>7.0707070707070701</v>
      </c>
      <c r="V28" s="100">
        <f t="shared" si="4"/>
        <v>2</v>
      </c>
      <c r="W28" s="98">
        <f t="shared" si="5"/>
        <v>0.78</v>
      </c>
      <c r="X28" s="101">
        <f t="shared" si="6"/>
        <v>0.21999999999999997</v>
      </c>
      <c r="Y28" s="100">
        <f t="shared" si="7"/>
        <v>10.43161094224924</v>
      </c>
      <c r="Z28" s="98">
        <f t="shared" si="28"/>
        <v>12.286512541831691</v>
      </c>
      <c r="AA28" s="98">
        <f t="shared" si="29"/>
        <v>7.6852525907709408</v>
      </c>
      <c r="AB28" s="98">
        <v>0</v>
      </c>
      <c r="AC28" s="98">
        <f t="shared" si="8"/>
        <v>6.5560049196186118E-2</v>
      </c>
      <c r="AD28" s="101">
        <f t="shared" si="19"/>
        <v>6.5560049196186118E-2</v>
      </c>
      <c r="AE28" s="100">
        <f t="shared" si="27"/>
        <v>5.5151515151515147</v>
      </c>
      <c r="AF28" s="98">
        <f t="shared" si="20"/>
        <v>6.7874313079015494</v>
      </c>
      <c r="AG28" s="98">
        <f t="shared" si="9"/>
        <v>0.21652535166956605</v>
      </c>
      <c r="AH28" s="98">
        <f t="shared" si="10"/>
        <v>3.4318823085628072</v>
      </c>
      <c r="AI28" s="101">
        <f t="shared" si="21"/>
        <v>3.6484076602323734</v>
      </c>
      <c r="AJ28" s="100">
        <f t="shared" si="22"/>
        <v>1.5555555555555551</v>
      </c>
      <c r="AK28" s="98">
        <f t="shared" si="11"/>
        <v>3.604702986997586</v>
      </c>
      <c r="AL28" s="98">
        <f t="shared" si="12"/>
        <v>2.38</v>
      </c>
      <c r="AM28" s="98">
        <f t="shared" si="13"/>
        <v>0.35594999999999999</v>
      </c>
      <c r="AN28" s="101">
        <f t="shared" si="23"/>
        <v>2.7359499999999999</v>
      </c>
      <c r="AO28" s="100">
        <f t="shared" si="14"/>
        <v>5.9889990887326772E-2</v>
      </c>
      <c r="AP28" s="98">
        <f t="shared" si="15"/>
        <v>0.13702500000000001</v>
      </c>
      <c r="AQ28" s="101">
        <f t="shared" si="16"/>
        <v>9.8999999999999991E-3</v>
      </c>
      <c r="AR28" s="100">
        <f t="shared" si="24"/>
        <v>6.6567327003158869</v>
      </c>
      <c r="AS28" s="98">
        <f t="shared" si="25"/>
        <v>140</v>
      </c>
      <c r="AT28" s="101">
        <f t="shared" si="26"/>
        <v>95.461011180496897</v>
      </c>
    </row>
    <row r="29" spans="17:46" x14ac:dyDescent="0.25">
      <c r="Q29" s="32">
        <v>22</v>
      </c>
      <c r="R29" s="100">
        <f t="shared" si="0"/>
        <v>100</v>
      </c>
      <c r="S29" s="98">
        <f t="shared" si="1"/>
        <v>1.4666666666666666</v>
      </c>
      <c r="T29" s="98">
        <f t="shared" si="2"/>
        <v>22</v>
      </c>
      <c r="U29" s="101">
        <f t="shared" si="3"/>
        <v>7.4074074074074066</v>
      </c>
      <c r="V29" s="100">
        <f t="shared" si="4"/>
        <v>2</v>
      </c>
      <c r="W29" s="98">
        <f t="shared" si="5"/>
        <v>0.78</v>
      </c>
      <c r="X29" s="101">
        <f t="shared" si="6"/>
        <v>0.21999999999999997</v>
      </c>
      <c r="Y29" s="100">
        <f t="shared" si="7"/>
        <v>10.43161094224924</v>
      </c>
      <c r="Z29" s="98">
        <f t="shared" si="28"/>
        <v>12.623212878532026</v>
      </c>
      <c r="AA29" s="98">
        <f t="shared" si="29"/>
        <v>7.9961173955563352</v>
      </c>
      <c r="AB29" s="98">
        <v>0</v>
      </c>
      <c r="AC29" s="98">
        <f t="shared" si="8"/>
        <v>7.0971061677905678E-2</v>
      </c>
      <c r="AD29" s="101">
        <f t="shared" si="19"/>
        <v>7.0971061677905678E-2</v>
      </c>
      <c r="AE29" s="100">
        <f t="shared" si="27"/>
        <v>5.7777777777777777</v>
      </c>
      <c r="AF29" s="98">
        <f t="shared" si="20"/>
        <v>7.0619796696637778</v>
      </c>
      <c r="AG29" s="98">
        <f t="shared" si="9"/>
        <v>0.23439631721729925</v>
      </c>
      <c r="AH29" s="98">
        <f t="shared" si="10"/>
        <v>3.5953052756372261</v>
      </c>
      <c r="AI29" s="101">
        <f t="shared" si="21"/>
        <v>3.8297015928545255</v>
      </c>
      <c r="AJ29" s="100">
        <f t="shared" si="22"/>
        <v>1.6296296296296293</v>
      </c>
      <c r="AK29" s="98">
        <f t="shared" si="11"/>
        <v>3.7505115049515707</v>
      </c>
      <c r="AL29" s="98">
        <f t="shared" si="12"/>
        <v>2.4933333333333332</v>
      </c>
      <c r="AM29" s="98">
        <f t="shared" si="13"/>
        <v>0.35594999999999999</v>
      </c>
      <c r="AN29" s="101">
        <f t="shared" si="23"/>
        <v>2.8492833333333332</v>
      </c>
      <c r="AO29" s="100">
        <f t="shared" si="14"/>
        <v>6.4833023911167867E-2</v>
      </c>
      <c r="AP29" s="98">
        <f t="shared" si="15"/>
        <v>0.13702500000000001</v>
      </c>
      <c r="AQ29" s="101">
        <f t="shared" si="16"/>
        <v>9.8999999999999991E-3</v>
      </c>
      <c r="AR29" s="100">
        <f t="shared" si="24"/>
        <v>6.9617140117769329</v>
      </c>
      <c r="AS29" s="98">
        <f t="shared" si="25"/>
        <v>146.66666666666666</v>
      </c>
      <c r="AT29" s="101">
        <f t="shared" si="26"/>
        <v>95.468471397646013</v>
      </c>
    </row>
    <row r="30" spans="17:46" x14ac:dyDescent="0.25">
      <c r="Q30" s="32">
        <v>23</v>
      </c>
      <c r="R30" s="100">
        <f t="shared" si="0"/>
        <v>100</v>
      </c>
      <c r="S30" s="98">
        <f t="shared" si="1"/>
        <v>1.5333333333333332</v>
      </c>
      <c r="T30" s="98">
        <f t="shared" si="2"/>
        <v>22</v>
      </c>
      <c r="U30" s="101">
        <f t="shared" si="3"/>
        <v>7.7441077441077431</v>
      </c>
      <c r="V30" s="100">
        <f t="shared" si="4"/>
        <v>2</v>
      </c>
      <c r="W30" s="98">
        <f t="shared" si="5"/>
        <v>0.78</v>
      </c>
      <c r="X30" s="101">
        <f t="shared" si="6"/>
        <v>0.21999999999999997</v>
      </c>
      <c r="Y30" s="100">
        <f t="shared" si="7"/>
        <v>10.43161094224924</v>
      </c>
      <c r="Z30" s="98">
        <f t="shared" si="28"/>
        <v>12.959913215232362</v>
      </c>
      <c r="AA30" s="98">
        <f t="shared" si="29"/>
        <v>8.3089959475591275</v>
      </c>
      <c r="AB30" s="98">
        <v>0</v>
      </c>
      <c r="AC30" s="98">
        <f t="shared" si="8"/>
        <v>7.6633749158774953E-2</v>
      </c>
      <c r="AD30" s="101">
        <f t="shared" si="19"/>
        <v>7.6633749158774953E-2</v>
      </c>
      <c r="AE30" s="100">
        <f t="shared" si="27"/>
        <v>6.0404040404040398</v>
      </c>
      <c r="AF30" s="98">
        <f t="shared" si="20"/>
        <v>7.3383065248129364</v>
      </c>
      <c r="AG30" s="98">
        <f t="shared" si="9"/>
        <v>0.25309849046492694</v>
      </c>
      <c r="AH30" s="98">
        <f t="shared" si="10"/>
        <v>3.7587282427116451</v>
      </c>
      <c r="AI30" s="101">
        <f t="shared" si="21"/>
        <v>4.011826733176572</v>
      </c>
      <c r="AJ30" s="100">
        <f t="shared" si="22"/>
        <v>1.7037037037037033</v>
      </c>
      <c r="AK30" s="98">
        <f t="shared" si="11"/>
        <v>3.8972645540740336</v>
      </c>
      <c r="AL30" s="98">
        <f t="shared" si="12"/>
        <v>2.6066666666666665</v>
      </c>
      <c r="AM30" s="98">
        <f t="shared" si="13"/>
        <v>0.35594999999999999</v>
      </c>
      <c r="AN30" s="101">
        <f t="shared" si="23"/>
        <v>2.9626166666666665</v>
      </c>
      <c r="AO30" s="100">
        <f t="shared" si="14"/>
        <v>7.0005965447745747E-2</v>
      </c>
      <c r="AP30" s="98">
        <f t="shared" si="15"/>
        <v>0.13702500000000001</v>
      </c>
      <c r="AQ30" s="101">
        <f t="shared" si="16"/>
        <v>9.8999999999999991E-3</v>
      </c>
      <c r="AR30" s="100">
        <f t="shared" si="24"/>
        <v>7.2680081144497599</v>
      </c>
      <c r="AS30" s="98">
        <f t="shared" si="25"/>
        <v>153.33333333333331</v>
      </c>
      <c r="AT30" s="101">
        <f t="shared" si="26"/>
        <v>95.474503482392862</v>
      </c>
    </row>
    <row r="31" spans="17:46" x14ac:dyDescent="0.25">
      <c r="Q31" s="32">
        <v>24</v>
      </c>
      <c r="R31" s="100">
        <f t="shared" si="0"/>
        <v>100</v>
      </c>
      <c r="S31" s="98">
        <f t="shared" si="1"/>
        <v>1.6</v>
      </c>
      <c r="T31" s="98">
        <f t="shared" si="2"/>
        <v>22</v>
      </c>
      <c r="U31" s="101">
        <f t="shared" si="3"/>
        <v>8.0808080808080813</v>
      </c>
      <c r="V31" s="100">
        <f t="shared" si="4"/>
        <v>2</v>
      </c>
      <c r="W31" s="98">
        <f t="shared" si="5"/>
        <v>0.78</v>
      </c>
      <c r="X31" s="101">
        <f t="shared" si="6"/>
        <v>0.21999999999999997</v>
      </c>
      <c r="Y31" s="100">
        <f t="shared" si="7"/>
        <v>10.43161094224924</v>
      </c>
      <c r="Z31" s="98">
        <f t="shared" si="28"/>
        <v>13.296613551932701</v>
      </c>
      <c r="AA31" s="98">
        <f t="shared" si="29"/>
        <v>8.6236690650243357</v>
      </c>
      <c r="AB31" s="98">
        <v>0</v>
      </c>
      <c r="AC31" s="98">
        <f t="shared" si="8"/>
        <v>8.2548111638794053E-2</v>
      </c>
      <c r="AD31" s="101">
        <f t="shared" si="19"/>
        <v>8.2548111638794053E-2</v>
      </c>
      <c r="AE31" s="100">
        <f t="shared" si="27"/>
        <v>6.3030303030303036</v>
      </c>
      <c r="AF31" s="98">
        <f t="shared" si="20"/>
        <v>7.616218297264397</v>
      </c>
      <c r="AG31" s="98">
        <f t="shared" si="9"/>
        <v>0.27263187141244943</v>
      </c>
      <c r="AH31" s="98">
        <f t="shared" si="10"/>
        <v>3.9221512097860654</v>
      </c>
      <c r="AI31" s="101">
        <f t="shared" si="21"/>
        <v>4.1947830811985147</v>
      </c>
      <c r="AJ31" s="100">
        <f t="shared" si="22"/>
        <v>1.7777777777777777</v>
      </c>
      <c r="AK31" s="98">
        <f t="shared" si="11"/>
        <v>4.0448593290091912</v>
      </c>
      <c r="AL31" s="98">
        <f t="shared" si="12"/>
        <v>2.72</v>
      </c>
      <c r="AM31" s="98">
        <f t="shared" si="13"/>
        <v>0.35594999999999999</v>
      </c>
      <c r="AN31" s="101">
        <f t="shared" si="23"/>
        <v>3.0759500000000002</v>
      </c>
      <c r="AO31" s="100">
        <f t="shared" si="14"/>
        <v>7.540881549706048E-2</v>
      </c>
      <c r="AP31" s="98">
        <f t="shared" si="15"/>
        <v>0.13702500000000001</v>
      </c>
      <c r="AQ31" s="101">
        <f t="shared" si="16"/>
        <v>9.8999999999999991E-3</v>
      </c>
      <c r="AR31" s="100">
        <f t="shared" si="24"/>
        <v>7.5756150083343705</v>
      </c>
      <c r="AS31" s="98">
        <f t="shared" si="25"/>
        <v>160</v>
      </c>
      <c r="AT31" s="101">
        <f t="shared" si="26"/>
        <v>95.479285570303531</v>
      </c>
    </row>
    <row r="32" spans="17:46" x14ac:dyDescent="0.25">
      <c r="Q32" s="32">
        <v>25</v>
      </c>
      <c r="R32" s="100">
        <f t="shared" si="0"/>
        <v>100</v>
      </c>
      <c r="S32" s="98">
        <f t="shared" si="1"/>
        <v>1.6666666666666667</v>
      </c>
      <c r="T32" s="98">
        <f t="shared" si="2"/>
        <v>22</v>
      </c>
      <c r="U32" s="101">
        <f t="shared" si="3"/>
        <v>8.4175084175084187</v>
      </c>
      <c r="V32" s="100">
        <f t="shared" si="4"/>
        <v>2</v>
      </c>
      <c r="W32" s="98">
        <f t="shared" si="5"/>
        <v>0.78</v>
      </c>
      <c r="X32" s="101">
        <f t="shared" si="6"/>
        <v>0.21999999999999997</v>
      </c>
      <c r="Y32" s="100">
        <f t="shared" si="7"/>
        <v>10.43161094224924</v>
      </c>
      <c r="Z32" s="98">
        <f t="shared" si="28"/>
        <v>13.633313888633039</v>
      </c>
      <c r="AA32" s="98">
        <f t="shared" si="29"/>
        <v>8.9399472516916774</v>
      </c>
      <c r="AB32" s="98">
        <v>0</v>
      </c>
      <c r="AC32" s="98">
        <f t="shared" si="8"/>
        <v>8.871414911796284E-2</v>
      </c>
      <c r="AD32" s="101">
        <f t="shared" si="19"/>
        <v>8.871414911796284E-2</v>
      </c>
      <c r="AE32" s="100">
        <f t="shared" si="27"/>
        <v>6.5656565656565666</v>
      </c>
      <c r="AF32" s="98">
        <f t="shared" si="20"/>
        <v>7.8955476284525741</v>
      </c>
      <c r="AG32" s="98">
        <f t="shared" si="9"/>
        <v>0.2929964600598664</v>
      </c>
      <c r="AH32" s="98">
        <f t="shared" si="10"/>
        <v>4.0855741768604856</v>
      </c>
      <c r="AI32" s="101">
        <f t="shared" si="21"/>
        <v>4.3785706369203519</v>
      </c>
      <c r="AJ32" s="100">
        <f t="shared" si="22"/>
        <v>1.8518518518518519</v>
      </c>
      <c r="AK32" s="98">
        <f t="shared" si="11"/>
        <v>4.1932069481324792</v>
      </c>
      <c r="AL32" s="98">
        <f t="shared" si="12"/>
        <v>2.8333333333333335</v>
      </c>
      <c r="AM32" s="98">
        <f t="shared" si="13"/>
        <v>0.35594999999999999</v>
      </c>
      <c r="AN32" s="101">
        <f t="shared" si="23"/>
        <v>3.1892833333333335</v>
      </c>
      <c r="AO32" s="100">
        <f t="shared" si="14"/>
        <v>8.1041574059111984E-2</v>
      </c>
      <c r="AP32" s="98">
        <f t="shared" si="15"/>
        <v>0.13702500000000001</v>
      </c>
      <c r="AQ32" s="101">
        <f t="shared" si="16"/>
        <v>9.8999999999999991E-3</v>
      </c>
      <c r="AR32" s="100">
        <f t="shared" si="24"/>
        <v>7.8845346934307603</v>
      </c>
      <c r="AS32" s="98">
        <f t="shared" si="25"/>
        <v>166.66666666666669</v>
      </c>
      <c r="AT32" s="101">
        <f t="shared" si="26"/>
        <v>95.482967386076567</v>
      </c>
    </row>
    <row r="33" spans="17:46" x14ac:dyDescent="0.25">
      <c r="Q33" s="32">
        <v>26</v>
      </c>
      <c r="R33" s="100">
        <f t="shared" si="0"/>
        <v>100</v>
      </c>
      <c r="S33" s="98">
        <f t="shared" si="1"/>
        <v>1.7333333333333334</v>
      </c>
      <c r="T33" s="98">
        <f t="shared" si="2"/>
        <v>22</v>
      </c>
      <c r="U33" s="101">
        <f t="shared" si="3"/>
        <v>8.7542087542087543</v>
      </c>
      <c r="V33" s="100">
        <f t="shared" si="4"/>
        <v>2</v>
      </c>
      <c r="W33" s="98">
        <f t="shared" si="5"/>
        <v>0.78</v>
      </c>
      <c r="X33" s="101">
        <f t="shared" si="6"/>
        <v>0.21999999999999997</v>
      </c>
      <c r="Y33" s="100">
        <f t="shared" si="7"/>
        <v>10.43161094224924</v>
      </c>
      <c r="Z33" s="98">
        <f t="shared" si="28"/>
        <v>13.970014225333374</v>
      </c>
      <c r="AA33" s="98">
        <f t="shared" si="29"/>
        <v>9.2576660026417947</v>
      </c>
      <c r="AB33" s="98">
        <v>0</v>
      </c>
      <c r="AC33" s="98">
        <f t="shared" si="8"/>
        <v>9.5131861596281383E-2</v>
      </c>
      <c r="AD33" s="101">
        <f t="shared" si="19"/>
        <v>9.5131861596281383E-2</v>
      </c>
      <c r="AE33" s="100">
        <f t="shared" si="27"/>
        <v>6.8282828282828287</v>
      </c>
      <c r="AF33" s="98">
        <f t="shared" si="20"/>
        <v>8.1761492315665532</v>
      </c>
      <c r="AG33" s="98">
        <f t="shared" si="9"/>
        <v>0.31419225640717779</v>
      </c>
      <c r="AH33" s="98">
        <f t="shared" si="10"/>
        <v>4.2489971439349041</v>
      </c>
      <c r="AI33" s="101">
        <f t="shared" si="21"/>
        <v>4.5631894003420816</v>
      </c>
      <c r="AJ33" s="100">
        <f t="shared" si="22"/>
        <v>1.9259259259259258</v>
      </c>
      <c r="AK33" s="98">
        <f t="shared" si="11"/>
        <v>4.3422302517972637</v>
      </c>
      <c r="AL33" s="98">
        <f t="shared" si="12"/>
        <v>2.9466666666666668</v>
      </c>
      <c r="AM33" s="98">
        <f t="shared" si="13"/>
        <v>0.35594999999999999</v>
      </c>
      <c r="AN33" s="101">
        <f t="shared" si="23"/>
        <v>3.3026166666666668</v>
      </c>
      <c r="AO33" s="100">
        <f t="shared" si="14"/>
        <v>8.6904241133900231E-2</v>
      </c>
      <c r="AP33" s="98">
        <f t="shared" si="15"/>
        <v>0.13702500000000001</v>
      </c>
      <c r="AQ33" s="101">
        <f t="shared" si="16"/>
        <v>9.8999999999999991E-3</v>
      </c>
      <c r="AR33" s="100">
        <f t="shared" si="24"/>
        <v>8.1947671697389293</v>
      </c>
      <c r="AS33" s="98">
        <f t="shared" si="25"/>
        <v>173.33333333333334</v>
      </c>
      <c r="AT33" s="101">
        <f t="shared" si="26"/>
        <v>95.485675690414539</v>
      </c>
    </row>
    <row r="34" spans="17:46" x14ac:dyDescent="0.25">
      <c r="Q34" s="32">
        <v>27</v>
      </c>
      <c r="R34" s="100">
        <f t="shared" si="0"/>
        <v>100</v>
      </c>
      <c r="S34" s="98">
        <f t="shared" si="1"/>
        <v>1.8</v>
      </c>
      <c r="T34" s="98">
        <f t="shared" si="2"/>
        <v>22</v>
      </c>
      <c r="U34" s="101">
        <f t="shared" si="3"/>
        <v>9.0909090909090899</v>
      </c>
      <c r="V34" s="100">
        <f t="shared" si="4"/>
        <v>2</v>
      </c>
      <c r="W34" s="98">
        <f t="shared" si="5"/>
        <v>0.78</v>
      </c>
      <c r="X34" s="101">
        <f t="shared" si="6"/>
        <v>0.21999999999999997</v>
      </c>
      <c r="Y34" s="100">
        <f t="shared" si="7"/>
        <v>10.43161094224924</v>
      </c>
      <c r="Z34" s="98">
        <f t="shared" si="28"/>
        <v>14.30671456203371</v>
      </c>
      <c r="AA34" s="98">
        <f t="shared" si="29"/>
        <v>9.5766819412246349</v>
      </c>
      <c r="AB34" s="98">
        <v>0</v>
      </c>
      <c r="AC34" s="98">
        <f t="shared" si="8"/>
        <v>0.10180124907374963</v>
      </c>
      <c r="AD34" s="101">
        <f t="shared" si="19"/>
        <v>0.10180124907374963</v>
      </c>
      <c r="AE34" s="100">
        <f t="shared" si="27"/>
        <v>7.0909090909090908</v>
      </c>
      <c r="AF34" s="98">
        <f t="shared" si="20"/>
        <v>8.4578964797776308</v>
      </c>
      <c r="AG34" s="98">
        <f t="shared" si="9"/>
        <v>0.33621926045438372</v>
      </c>
      <c r="AH34" s="98">
        <f t="shared" si="10"/>
        <v>4.4124201110093226</v>
      </c>
      <c r="AI34" s="101">
        <f t="shared" si="21"/>
        <v>4.7486393714637067</v>
      </c>
      <c r="AJ34" s="100">
        <f t="shared" si="22"/>
        <v>1.9999999999999996</v>
      </c>
      <c r="AK34" s="98">
        <f t="shared" si="11"/>
        <v>4.4918619903936454</v>
      </c>
      <c r="AL34" s="98">
        <f t="shared" si="12"/>
        <v>3.06</v>
      </c>
      <c r="AM34" s="98">
        <f t="shared" si="13"/>
        <v>0.35594999999999999</v>
      </c>
      <c r="AN34" s="101">
        <f t="shared" si="23"/>
        <v>3.41595</v>
      </c>
      <c r="AO34" s="100">
        <f t="shared" si="14"/>
        <v>9.2996816721425277E-2</v>
      </c>
      <c r="AP34" s="98">
        <f t="shared" si="15"/>
        <v>0.13702500000000001</v>
      </c>
      <c r="AQ34" s="101">
        <f t="shared" si="16"/>
        <v>9.8999999999999991E-3</v>
      </c>
      <c r="AR34" s="100">
        <f t="shared" si="24"/>
        <v>8.5063124372588828</v>
      </c>
      <c r="AS34" s="98">
        <f t="shared" si="25"/>
        <v>180</v>
      </c>
      <c r="AT34" s="101">
        <f t="shared" si="26"/>
        <v>95.48751852005482</v>
      </c>
    </row>
    <row r="35" spans="17:46" x14ac:dyDescent="0.25">
      <c r="Q35" s="32">
        <v>28</v>
      </c>
      <c r="R35" s="100">
        <f t="shared" si="0"/>
        <v>100</v>
      </c>
      <c r="S35" s="98">
        <f t="shared" si="1"/>
        <v>1.8666666666666667</v>
      </c>
      <c r="T35" s="98">
        <f t="shared" si="2"/>
        <v>22</v>
      </c>
      <c r="U35" s="101">
        <f t="shared" si="3"/>
        <v>9.4276094276094273</v>
      </c>
      <c r="V35" s="100">
        <f t="shared" si="4"/>
        <v>2</v>
      </c>
      <c r="W35" s="98">
        <f t="shared" si="5"/>
        <v>0.78</v>
      </c>
      <c r="X35" s="101">
        <f t="shared" si="6"/>
        <v>0.21999999999999997</v>
      </c>
      <c r="Y35" s="100">
        <f t="shared" si="7"/>
        <v>10.43161094224924</v>
      </c>
      <c r="Z35" s="98">
        <f t="shared" si="28"/>
        <v>14.643414898734047</v>
      </c>
      <c r="AA35" s="98">
        <f t="shared" si="29"/>
        <v>9.896869627501145</v>
      </c>
      <c r="AB35" s="98">
        <v>0</v>
      </c>
      <c r="AC35" s="98">
        <f t="shared" si="8"/>
        <v>0.10872231155036767</v>
      </c>
      <c r="AD35" s="101">
        <f t="shared" si="19"/>
        <v>0.10872231155036767</v>
      </c>
      <c r="AE35" s="100">
        <f t="shared" si="27"/>
        <v>7.3535353535353538</v>
      </c>
      <c r="AF35" s="98">
        <f t="shared" si="20"/>
        <v>8.7406785875313275</v>
      </c>
      <c r="AG35" s="98">
        <f t="shared" si="9"/>
        <v>0.35907747220148462</v>
      </c>
      <c r="AH35" s="98">
        <f t="shared" si="10"/>
        <v>4.575843078083742</v>
      </c>
      <c r="AI35" s="101">
        <f t="shared" si="21"/>
        <v>4.9349205502852262</v>
      </c>
      <c r="AJ35" s="100">
        <f t="shared" si="22"/>
        <v>2.074074074074074</v>
      </c>
      <c r="AK35" s="98">
        <f t="shared" si="11"/>
        <v>4.6420433273749202</v>
      </c>
      <c r="AL35" s="98">
        <f t="shared" si="12"/>
        <v>3.1733333333333333</v>
      </c>
      <c r="AM35" s="98">
        <f t="shared" si="13"/>
        <v>0.35594999999999999</v>
      </c>
      <c r="AN35" s="101">
        <f t="shared" si="23"/>
        <v>3.5292833333333333</v>
      </c>
      <c r="AO35" s="100">
        <f t="shared" si="14"/>
        <v>9.9319300821687218E-2</v>
      </c>
      <c r="AP35" s="98">
        <f t="shared" si="15"/>
        <v>0.13702500000000001</v>
      </c>
      <c r="AQ35" s="101">
        <f t="shared" si="16"/>
        <v>9.8999999999999991E-3</v>
      </c>
      <c r="AR35" s="100">
        <f t="shared" si="24"/>
        <v>8.8191704959906136</v>
      </c>
      <c r="AS35" s="98">
        <f t="shared" si="25"/>
        <v>186.66666666666666</v>
      </c>
      <c r="AT35" s="101">
        <f t="shared" si="26"/>
        <v>95.488588521810669</v>
      </c>
    </row>
    <row r="36" spans="17:46" x14ac:dyDescent="0.25">
      <c r="Q36" s="32">
        <v>29</v>
      </c>
      <c r="R36" s="100">
        <f t="shared" si="0"/>
        <v>100</v>
      </c>
      <c r="S36" s="98">
        <f t="shared" si="1"/>
        <v>1.9333333333333333</v>
      </c>
      <c r="T36" s="98">
        <f t="shared" si="2"/>
        <v>22</v>
      </c>
      <c r="U36" s="101">
        <f t="shared" si="3"/>
        <v>9.7643097643097647</v>
      </c>
      <c r="V36" s="100">
        <f t="shared" si="4"/>
        <v>2</v>
      </c>
      <c r="W36" s="98">
        <f t="shared" si="5"/>
        <v>0.78</v>
      </c>
      <c r="X36" s="101">
        <f t="shared" si="6"/>
        <v>0.21999999999999997</v>
      </c>
      <c r="Y36" s="100">
        <f t="shared" si="7"/>
        <v>10.43161094224924</v>
      </c>
      <c r="Z36" s="98">
        <f t="shared" si="28"/>
        <v>14.980115235434385</v>
      </c>
      <c r="AA36" s="98">
        <f t="shared" si="29"/>
        <v>10.218118910915038</v>
      </c>
      <c r="AB36" s="98">
        <v>0</v>
      </c>
      <c r="AC36" s="98">
        <f t="shared" si="8"/>
        <v>0.11589504902613548</v>
      </c>
      <c r="AD36" s="101">
        <f t="shared" si="19"/>
        <v>0.11589504902613548</v>
      </c>
      <c r="AE36" s="100">
        <f t="shared" si="27"/>
        <v>7.6161616161616168</v>
      </c>
      <c r="AF36" s="98">
        <f t="shared" si="20"/>
        <v>9.0243982724903944</v>
      </c>
      <c r="AG36" s="98">
        <f t="shared" si="9"/>
        <v>0.38276689164847982</v>
      </c>
      <c r="AH36" s="98">
        <f t="shared" si="10"/>
        <v>4.7392660451581623</v>
      </c>
      <c r="AI36" s="101">
        <f t="shared" si="21"/>
        <v>5.122032936806642</v>
      </c>
      <c r="AJ36" s="100">
        <f t="shared" si="22"/>
        <v>2.1481481481481479</v>
      </c>
      <c r="AK36" s="98">
        <f t="shared" si="11"/>
        <v>4.7927225975505712</v>
      </c>
      <c r="AL36" s="98">
        <f t="shared" si="12"/>
        <v>3.2866666666666666</v>
      </c>
      <c r="AM36" s="98">
        <f t="shared" si="13"/>
        <v>0.35594999999999999</v>
      </c>
      <c r="AN36" s="101">
        <f t="shared" si="23"/>
        <v>3.6426166666666666</v>
      </c>
      <c r="AO36" s="100">
        <f t="shared" si="14"/>
        <v>0.1058716934346859</v>
      </c>
      <c r="AP36" s="98">
        <f t="shared" si="15"/>
        <v>0.13702500000000001</v>
      </c>
      <c r="AQ36" s="101">
        <f t="shared" si="16"/>
        <v>9.8999999999999991E-3</v>
      </c>
      <c r="AR36" s="100">
        <f t="shared" si="24"/>
        <v>9.1333413459341308</v>
      </c>
      <c r="AS36" s="98">
        <f t="shared" si="25"/>
        <v>193.33333333333334</v>
      </c>
      <c r="AT36" s="101">
        <f t="shared" si="26"/>
        <v>95.488965598707793</v>
      </c>
    </row>
    <row r="37" spans="17:46" x14ac:dyDescent="0.25">
      <c r="Q37" s="32">
        <v>30</v>
      </c>
      <c r="R37" s="100">
        <f t="shared" si="0"/>
        <v>100</v>
      </c>
      <c r="S37" s="98">
        <f t="shared" si="1"/>
        <v>2</v>
      </c>
      <c r="T37" s="98">
        <f t="shared" si="2"/>
        <v>22</v>
      </c>
      <c r="U37" s="101">
        <f t="shared" si="3"/>
        <v>10.1010101010101</v>
      </c>
      <c r="V37" s="100">
        <f t="shared" si="4"/>
        <v>2</v>
      </c>
      <c r="W37" s="98">
        <f t="shared" si="5"/>
        <v>0.78</v>
      </c>
      <c r="X37" s="101">
        <f t="shared" si="6"/>
        <v>0.21999999999999997</v>
      </c>
      <c r="Y37" s="100">
        <f t="shared" si="7"/>
        <v>10.43161094224924</v>
      </c>
      <c r="Z37" s="98">
        <f t="shared" si="28"/>
        <v>15.31681557213472</v>
      </c>
      <c r="AA37" s="98">
        <f t="shared" si="29"/>
        <v>10.540332725531609</v>
      </c>
      <c r="AB37" s="98">
        <v>0</v>
      </c>
      <c r="AC37" s="98">
        <f t="shared" si="8"/>
        <v>0.123319461501053</v>
      </c>
      <c r="AD37" s="101">
        <f t="shared" si="19"/>
        <v>0.123319461501053</v>
      </c>
      <c r="AE37" s="100">
        <f t="shared" si="27"/>
        <v>7.8787878787878789</v>
      </c>
      <c r="AF37" s="98">
        <f t="shared" si="20"/>
        <v>9.3089698083424803</v>
      </c>
      <c r="AG37" s="98">
        <f t="shared" si="9"/>
        <v>0.40728751879536962</v>
      </c>
      <c r="AH37" s="98">
        <f t="shared" si="10"/>
        <v>4.9026890122325817</v>
      </c>
      <c r="AI37" s="101">
        <f t="shared" si="21"/>
        <v>5.3099765310279512</v>
      </c>
      <c r="AJ37" s="100">
        <f t="shared" si="22"/>
        <v>2.2222222222222219</v>
      </c>
      <c r="AK37" s="98">
        <f t="shared" si="11"/>
        <v>4.9438542729616097</v>
      </c>
      <c r="AL37" s="98">
        <f t="shared" si="12"/>
        <v>3.4</v>
      </c>
      <c r="AM37" s="98">
        <f t="shared" si="13"/>
        <v>0.35594999999999999</v>
      </c>
      <c r="AN37" s="101">
        <f t="shared" si="23"/>
        <v>3.7559499999999999</v>
      </c>
      <c r="AO37" s="100">
        <f t="shared" si="14"/>
        <v>0.11265399456042138</v>
      </c>
      <c r="AP37" s="98">
        <f t="shared" si="15"/>
        <v>0.13702500000000001</v>
      </c>
      <c r="AQ37" s="101">
        <f t="shared" si="16"/>
        <v>9.8999999999999991E-3</v>
      </c>
      <c r="AR37" s="100">
        <f t="shared" si="24"/>
        <v>9.4488249870894254</v>
      </c>
      <c r="AS37" s="98">
        <f t="shared" si="25"/>
        <v>200</v>
      </c>
      <c r="AT37" s="101">
        <f t="shared" si="26"/>
        <v>95.488719028301134</v>
      </c>
    </row>
    <row r="38" spans="17:46" x14ac:dyDescent="0.25">
      <c r="Q38" s="32">
        <v>31</v>
      </c>
      <c r="R38" s="100">
        <f t="shared" si="0"/>
        <v>100</v>
      </c>
      <c r="S38" s="98">
        <f t="shared" si="1"/>
        <v>2.0666666666666664</v>
      </c>
      <c r="T38" s="98">
        <f t="shared" si="2"/>
        <v>22</v>
      </c>
      <c r="U38" s="101">
        <f t="shared" si="3"/>
        <v>10.437710437710436</v>
      </c>
      <c r="V38" s="100">
        <f t="shared" si="4"/>
        <v>2</v>
      </c>
      <c r="W38" s="98">
        <f t="shared" si="5"/>
        <v>0.78</v>
      </c>
      <c r="X38" s="101">
        <f t="shared" si="6"/>
        <v>0.21999999999999997</v>
      </c>
      <c r="Y38" s="100">
        <f t="shared" si="7"/>
        <v>10.43161094224924</v>
      </c>
      <c r="Z38" s="98">
        <f t="shared" si="28"/>
        <v>15.653515908835056</v>
      </c>
      <c r="AA38" s="98">
        <f t="shared" si="29"/>
        <v>10.863425246472397</v>
      </c>
      <c r="AB38" s="98">
        <v>0</v>
      </c>
      <c r="AC38" s="98">
        <f t="shared" si="8"/>
        <v>0.13099554897512022</v>
      </c>
      <c r="AD38" s="101">
        <f t="shared" si="19"/>
        <v>0.13099554897512022</v>
      </c>
      <c r="AE38" s="100">
        <f t="shared" si="27"/>
        <v>8.1414141414141401</v>
      </c>
      <c r="AF38" s="98">
        <f t="shared" si="20"/>
        <v>9.5943173966072859</v>
      </c>
      <c r="AG38" s="98">
        <f t="shared" si="9"/>
        <v>0.43263935364215367</v>
      </c>
      <c r="AH38" s="98">
        <f t="shared" si="10"/>
        <v>5.0661119793070002</v>
      </c>
      <c r="AI38" s="101">
        <f t="shared" si="21"/>
        <v>5.498751332949154</v>
      </c>
      <c r="AJ38" s="100">
        <f t="shared" si="22"/>
        <v>2.2962962962962958</v>
      </c>
      <c r="AK38" s="98">
        <f t="shared" si="11"/>
        <v>5.0953980981717857</v>
      </c>
      <c r="AL38" s="98">
        <f t="shared" si="12"/>
        <v>3.5133333333333328</v>
      </c>
      <c r="AM38" s="98">
        <f t="shared" si="13"/>
        <v>0.35594999999999999</v>
      </c>
      <c r="AN38" s="101">
        <f t="shared" si="23"/>
        <v>3.8692833333333327</v>
      </c>
      <c r="AO38" s="100">
        <f t="shared" si="14"/>
        <v>0.11966620419889357</v>
      </c>
      <c r="AP38" s="98">
        <f t="shared" si="15"/>
        <v>0.13702500000000001</v>
      </c>
      <c r="AQ38" s="101">
        <f t="shared" si="16"/>
        <v>9.8999999999999991E-3</v>
      </c>
      <c r="AR38" s="100">
        <f t="shared" si="24"/>
        <v>9.7656214194564992</v>
      </c>
      <c r="AS38" s="98">
        <f t="shared" si="25"/>
        <v>206.66666666666663</v>
      </c>
      <c r="AT38" s="101">
        <f t="shared" si="26"/>
        <v>95.487909172049896</v>
      </c>
    </row>
    <row r="39" spans="17:46" x14ac:dyDescent="0.25">
      <c r="Q39" s="32">
        <v>32</v>
      </c>
      <c r="R39" s="100">
        <f t="shared" si="0"/>
        <v>100</v>
      </c>
      <c r="S39" s="98">
        <f t="shared" ref="S39:S70" si="30">Q39*$O$12</f>
        <v>2.1333333333333333</v>
      </c>
      <c r="T39" s="98">
        <f t="shared" si="2"/>
        <v>22</v>
      </c>
      <c r="U39" s="101">
        <f t="shared" ref="U39:U70" si="31">(R39*S39)/(T39*EFF_est)</f>
        <v>10.774410774410775</v>
      </c>
      <c r="V39" s="100">
        <f t="shared" ref="V39:V70" si="32">IF((S39*R39/T39)&lt;((T39*(1-(T39/R39)))/(2*Lm*Fsw)),1,2)</f>
        <v>2</v>
      </c>
      <c r="W39" s="98">
        <f t="shared" ref="W39:W70" si="33">CHOOSE(V39,SQRT((2*S39*Lm*Fsw*(R39-T39))/((T39)^2)),1-(T39/R39))</f>
        <v>0.78</v>
      </c>
      <c r="X39" s="101">
        <f t="shared" ref="X39:X70" si="34">CHOOSE(V39,(Lm*W39*Fsw)/(R39-T39),1-W39)</f>
        <v>0.21999999999999997</v>
      </c>
      <c r="Y39" s="100">
        <f t="shared" ref="Y39:Y70" si="35">(T39*W39)/(Lm*Fsw)</f>
        <v>10.43161094224924</v>
      </c>
      <c r="Z39" s="98">
        <f t="shared" si="28"/>
        <v>15.990216245535395</v>
      </c>
      <c r="AA39" s="98">
        <f t="shared" si="29"/>
        <v>11.187320342242083</v>
      </c>
      <c r="AB39" s="98">
        <v>0</v>
      </c>
      <c r="AC39" s="98">
        <f t="shared" ref="AC39:AC70" si="36">(AA39^2)*Rdcr</f>
        <v>0.13892331144833733</v>
      </c>
      <c r="AD39" s="101">
        <f t="shared" si="19"/>
        <v>0.13892331144833733</v>
      </c>
      <c r="AE39" s="100">
        <f t="shared" si="27"/>
        <v>8.4040404040404049</v>
      </c>
      <c r="AF39" s="98">
        <f t="shared" si="20"/>
        <v>9.8803737997687087</v>
      </c>
      <c r="AG39" s="98">
        <f t="shared" ref="AG39:AG70" si="37">(AF39^2)*RDS_on</f>
        <v>0.45882239618883297</v>
      </c>
      <c r="AH39" s="98">
        <f t="shared" ref="AH39:AH70" si="38">((R39*U39)/2)*Fsw*(tr_sw+tf_sw)</f>
        <v>5.2295349463814214</v>
      </c>
      <c r="AI39" s="101">
        <f t="shared" si="21"/>
        <v>5.6883573425702547</v>
      </c>
      <c r="AJ39" s="100">
        <f t="shared" si="22"/>
        <v>2.3703703703703702</v>
      </c>
      <c r="AK39" s="98">
        <f t="shared" ref="AK39:AK70" si="39">CHOOSE(V39,Z39*SQRT(X39/3),SQRT(X39*((Z39^2)+((Y39^2)/3)-(Y39*Z39))))</f>
        <v>5.2473183643445509</v>
      </c>
      <c r="AL39" s="98">
        <f t="shared" ref="AL39:AL70" si="40">S39*Vd_rect</f>
        <v>3.6266666666666665</v>
      </c>
      <c r="AM39" s="98">
        <f t="shared" ref="AM39:AM70" si="41">CHOOSE(V39,(R39+Vd_rect)*Qrr*Fsw,(R39+Vd_rect)*Qrr*Fsw)</f>
        <v>0.35594999999999999</v>
      </c>
      <c r="AN39" s="101">
        <f t="shared" si="23"/>
        <v>3.9826166666666665</v>
      </c>
      <c r="AO39" s="100">
        <f t="shared" ref="AO39:AO70" si="42">(AF39^2)*R_cs</f>
        <v>0.12690832235010274</v>
      </c>
      <c r="AP39" s="98">
        <f t="shared" ref="AP39:AP70" si="43">Qg_tot*Vcc*Fsw</f>
        <v>0.13702500000000001</v>
      </c>
      <c r="AQ39" s="101">
        <f t="shared" ref="AQ39:AQ70" si="44">IQ*T39</f>
        <v>9.8999999999999991E-3</v>
      </c>
      <c r="AR39" s="100">
        <f t="shared" si="24"/>
        <v>10.083730643035361</v>
      </c>
      <c r="AS39" s="98">
        <f t="shared" si="25"/>
        <v>213.33333333333334</v>
      </c>
      <c r="AT39" s="101">
        <f t="shared" si="26"/>
        <v>95.486588864983958</v>
      </c>
    </row>
    <row r="40" spans="17:46" x14ac:dyDescent="0.25">
      <c r="Q40" s="32">
        <v>33</v>
      </c>
      <c r="R40" s="100">
        <f t="shared" si="0"/>
        <v>100</v>
      </c>
      <c r="S40" s="98">
        <f t="shared" si="30"/>
        <v>2.2000000000000002</v>
      </c>
      <c r="T40" s="98">
        <f t="shared" si="2"/>
        <v>22</v>
      </c>
      <c r="U40" s="101">
        <f t="shared" si="31"/>
        <v>11.111111111111112</v>
      </c>
      <c r="V40" s="100">
        <f t="shared" si="32"/>
        <v>2</v>
      </c>
      <c r="W40" s="98">
        <f t="shared" si="33"/>
        <v>0.78</v>
      </c>
      <c r="X40" s="101">
        <f t="shared" si="34"/>
        <v>0.21999999999999997</v>
      </c>
      <c r="Y40" s="100">
        <f t="shared" si="35"/>
        <v>10.43161094224924</v>
      </c>
      <c r="Z40" s="98">
        <f t="shared" si="28"/>
        <v>16.326916582235732</v>
      </c>
      <c r="AA40" s="98">
        <f t="shared" si="29"/>
        <v>11.511950270378227</v>
      </c>
      <c r="AB40" s="98">
        <v>0</v>
      </c>
      <c r="AC40" s="98">
        <f t="shared" si="36"/>
        <v>0.14710274892070407</v>
      </c>
      <c r="AD40" s="101">
        <f t="shared" si="19"/>
        <v>0.14710274892070407</v>
      </c>
      <c r="AE40" s="100">
        <f t="shared" si="27"/>
        <v>8.6666666666666679</v>
      </c>
      <c r="AF40" s="98">
        <f t="shared" si="20"/>
        <v>10.16707918930387</v>
      </c>
      <c r="AG40" s="98">
        <f t="shared" si="37"/>
        <v>0.48583664643540647</v>
      </c>
      <c r="AH40" s="98">
        <f t="shared" si="38"/>
        <v>5.3929579134558407</v>
      </c>
      <c r="AI40" s="101">
        <f t="shared" si="21"/>
        <v>5.8787945598912472</v>
      </c>
      <c r="AJ40" s="100">
        <f t="shared" si="22"/>
        <v>2.4444444444444446</v>
      </c>
      <c r="AK40" s="98">
        <f t="shared" si="39"/>
        <v>5.3995832974485625</v>
      </c>
      <c r="AL40" s="98">
        <f t="shared" si="40"/>
        <v>3.74</v>
      </c>
      <c r="AM40" s="98">
        <f t="shared" si="41"/>
        <v>0.35594999999999999</v>
      </c>
      <c r="AN40" s="101">
        <f t="shared" si="23"/>
        <v>4.0959500000000002</v>
      </c>
      <c r="AO40" s="100">
        <f t="shared" si="42"/>
        <v>0.13438034901404858</v>
      </c>
      <c r="AP40" s="98">
        <f t="shared" si="43"/>
        <v>0.13702500000000001</v>
      </c>
      <c r="AQ40" s="101">
        <f t="shared" si="44"/>
        <v>9.8999999999999991E-3</v>
      </c>
      <c r="AR40" s="100">
        <f t="shared" si="24"/>
        <v>10.403152657826</v>
      </c>
      <c r="AS40" s="98">
        <f t="shared" si="25"/>
        <v>220.00000000000003</v>
      </c>
      <c r="AT40" s="101">
        <f t="shared" si="26"/>
        <v>95.48480455331449</v>
      </c>
    </row>
    <row r="41" spans="17:46" x14ac:dyDescent="0.25">
      <c r="Q41" s="32">
        <v>34</v>
      </c>
      <c r="R41" s="100">
        <f t="shared" si="0"/>
        <v>100</v>
      </c>
      <c r="S41" s="98">
        <f t="shared" si="30"/>
        <v>2.2666666666666666</v>
      </c>
      <c r="T41" s="98">
        <f t="shared" si="2"/>
        <v>22</v>
      </c>
      <c r="U41" s="101">
        <f t="shared" si="31"/>
        <v>11.447811447811446</v>
      </c>
      <c r="V41" s="100">
        <f t="shared" si="32"/>
        <v>2</v>
      </c>
      <c r="W41" s="98">
        <f t="shared" si="33"/>
        <v>0.78</v>
      </c>
      <c r="X41" s="101">
        <f t="shared" si="34"/>
        <v>0.21999999999999997</v>
      </c>
      <c r="Y41" s="100">
        <f t="shared" si="35"/>
        <v>10.43161094224924</v>
      </c>
      <c r="Z41" s="98">
        <f t="shared" si="28"/>
        <v>16.663616918936064</v>
      </c>
      <c r="AA41" s="98">
        <f t="shared" si="29"/>
        <v>11.837254573964662</v>
      </c>
      <c r="AB41" s="98">
        <v>0</v>
      </c>
      <c r="AC41" s="98">
        <f t="shared" si="36"/>
        <v>0.15553386139222056</v>
      </c>
      <c r="AD41" s="101">
        <f t="shared" si="19"/>
        <v>0.15553386139222056</v>
      </c>
      <c r="AE41" s="100">
        <f t="shared" si="27"/>
        <v>8.9292929292929291</v>
      </c>
      <c r="AF41" s="98">
        <f t="shared" si="20"/>
        <v>10.454380171110142</v>
      </c>
      <c r="AG41" s="98">
        <f t="shared" si="37"/>
        <v>0.51368210438187434</v>
      </c>
      <c r="AH41" s="98">
        <f t="shared" si="38"/>
        <v>5.5563808805302584</v>
      </c>
      <c r="AI41" s="101">
        <f t="shared" si="21"/>
        <v>6.0700629849121324</v>
      </c>
      <c r="AJ41" s="100">
        <f t="shared" si="22"/>
        <v>2.5185185185185177</v>
      </c>
      <c r="AK41" s="98">
        <f t="shared" si="39"/>
        <v>5.552164540676582</v>
      </c>
      <c r="AL41" s="98">
        <f t="shared" si="40"/>
        <v>3.8533333333333331</v>
      </c>
      <c r="AM41" s="98">
        <f t="shared" si="41"/>
        <v>0.35594999999999999</v>
      </c>
      <c r="AN41" s="101">
        <f t="shared" si="23"/>
        <v>4.2092833333333335</v>
      </c>
      <c r="AO41" s="100">
        <f t="shared" si="42"/>
        <v>0.14208228419073118</v>
      </c>
      <c r="AP41" s="98">
        <f t="shared" si="43"/>
        <v>0.13702500000000001</v>
      </c>
      <c r="AQ41" s="101">
        <f t="shared" si="44"/>
        <v>9.8999999999999991E-3</v>
      </c>
      <c r="AR41" s="100">
        <f t="shared" si="24"/>
        <v>10.723887463828417</v>
      </c>
      <c r="AS41" s="98">
        <f t="shared" si="25"/>
        <v>226.66666666666666</v>
      </c>
      <c r="AT41" s="101">
        <f t="shared" si="26"/>
        <v>95.482597231761204</v>
      </c>
    </row>
    <row r="42" spans="17:46" x14ac:dyDescent="0.25">
      <c r="Q42" s="32">
        <v>35</v>
      </c>
      <c r="R42" s="100">
        <f t="shared" si="0"/>
        <v>100</v>
      </c>
      <c r="S42" s="98">
        <f t="shared" si="30"/>
        <v>2.3333333333333335</v>
      </c>
      <c r="T42" s="98">
        <f t="shared" si="2"/>
        <v>22</v>
      </c>
      <c r="U42" s="101">
        <f t="shared" si="31"/>
        <v>11.784511784511784</v>
      </c>
      <c r="V42" s="100">
        <f t="shared" si="32"/>
        <v>2</v>
      </c>
      <c r="W42" s="98">
        <f t="shared" si="33"/>
        <v>0.78</v>
      </c>
      <c r="X42" s="101">
        <f t="shared" si="34"/>
        <v>0.21999999999999997</v>
      </c>
      <c r="Y42" s="100">
        <f t="shared" si="35"/>
        <v>10.43161094224924</v>
      </c>
      <c r="Z42" s="98">
        <f t="shared" si="28"/>
        <v>17.000317255636404</v>
      </c>
      <c r="AA42" s="98">
        <f t="shared" si="29"/>
        <v>12.163179144594624</v>
      </c>
      <c r="AB42" s="98">
        <v>0</v>
      </c>
      <c r="AC42" s="98">
        <f t="shared" si="36"/>
        <v>0.16421664886288681</v>
      </c>
      <c r="AD42" s="101">
        <f t="shared" si="19"/>
        <v>0.16421664886288681</v>
      </c>
      <c r="AE42" s="100">
        <f t="shared" si="27"/>
        <v>9.191919191919192</v>
      </c>
      <c r="AF42" s="98">
        <f t="shared" si="20"/>
        <v>10.742228957936582</v>
      </c>
      <c r="AG42" s="98">
        <f t="shared" si="37"/>
        <v>0.54235877002823696</v>
      </c>
      <c r="AH42" s="98">
        <f t="shared" si="38"/>
        <v>5.7198038476046777</v>
      </c>
      <c r="AI42" s="101">
        <f t="shared" si="21"/>
        <v>6.2621626176329146</v>
      </c>
      <c r="AJ42" s="100">
        <f t="shared" si="22"/>
        <v>2.5925925925925921</v>
      </c>
      <c r="AK42" s="98">
        <f t="shared" si="39"/>
        <v>5.7050367149362282</v>
      </c>
      <c r="AL42" s="98">
        <f t="shared" si="40"/>
        <v>3.9666666666666668</v>
      </c>
      <c r="AM42" s="98">
        <f t="shared" si="41"/>
        <v>0.35594999999999999</v>
      </c>
      <c r="AN42" s="101">
        <f t="shared" si="23"/>
        <v>4.3226166666666668</v>
      </c>
      <c r="AO42" s="100">
        <f t="shared" si="42"/>
        <v>0.15001412788015064</v>
      </c>
      <c r="AP42" s="98">
        <f t="shared" si="43"/>
        <v>0.13702500000000001</v>
      </c>
      <c r="AQ42" s="101">
        <f t="shared" si="44"/>
        <v>9.8999999999999991E-3</v>
      </c>
      <c r="AR42" s="100">
        <f t="shared" si="24"/>
        <v>11.045935061042618</v>
      </c>
      <c r="AS42" s="98">
        <f t="shared" si="25"/>
        <v>233.33333333333334</v>
      </c>
      <c r="AT42" s="101">
        <f t="shared" si="26"/>
        <v>95.480003220560903</v>
      </c>
    </row>
    <row r="43" spans="17:46" x14ac:dyDescent="0.25">
      <c r="Q43" s="32">
        <v>36</v>
      </c>
      <c r="R43" s="100">
        <f t="shared" si="0"/>
        <v>100</v>
      </c>
      <c r="S43" s="98">
        <f t="shared" si="30"/>
        <v>2.4</v>
      </c>
      <c r="T43" s="98">
        <f t="shared" si="2"/>
        <v>22</v>
      </c>
      <c r="U43" s="101">
        <f t="shared" si="31"/>
        <v>12.121212121212121</v>
      </c>
      <c r="V43" s="100">
        <f t="shared" si="32"/>
        <v>2</v>
      </c>
      <c r="W43" s="98">
        <f t="shared" si="33"/>
        <v>0.78</v>
      </c>
      <c r="X43" s="101">
        <f t="shared" si="34"/>
        <v>0.21999999999999997</v>
      </c>
      <c r="Y43" s="100">
        <f t="shared" si="35"/>
        <v>10.43161094224924</v>
      </c>
      <c r="Z43" s="98">
        <f t="shared" si="28"/>
        <v>17.337017592336743</v>
      </c>
      <c r="AA43" s="98">
        <f t="shared" si="29"/>
        <v>12.489675423790009</v>
      </c>
      <c r="AB43" s="98">
        <v>0</v>
      </c>
      <c r="AC43" s="98">
        <f t="shared" si="36"/>
        <v>0.17315111133270281</v>
      </c>
      <c r="AD43" s="101">
        <f t="shared" si="19"/>
        <v>0.17315111133270281</v>
      </c>
      <c r="AE43" s="100">
        <f t="shared" si="27"/>
        <v>9.454545454545455</v>
      </c>
      <c r="AF43" s="98">
        <f t="shared" si="20"/>
        <v>11.03058266409653</v>
      </c>
      <c r="AG43" s="98">
        <f t="shared" si="37"/>
        <v>0.57186664337449444</v>
      </c>
      <c r="AH43" s="98">
        <f t="shared" si="38"/>
        <v>5.8832268146790971</v>
      </c>
      <c r="AI43" s="101">
        <f t="shared" si="21"/>
        <v>6.4550934580535912</v>
      </c>
      <c r="AJ43" s="100">
        <f t="shared" si="22"/>
        <v>2.6666666666666665</v>
      </c>
      <c r="AK43" s="98">
        <f t="shared" si="39"/>
        <v>5.8581770442824039</v>
      </c>
      <c r="AL43" s="98">
        <f t="shared" si="40"/>
        <v>4.08</v>
      </c>
      <c r="AM43" s="98">
        <f t="shared" si="41"/>
        <v>0.35594999999999999</v>
      </c>
      <c r="AN43" s="101">
        <f t="shared" si="23"/>
        <v>4.4359500000000001</v>
      </c>
      <c r="AO43" s="100">
        <f t="shared" si="42"/>
        <v>0.15817588008230696</v>
      </c>
      <c r="AP43" s="98">
        <f t="shared" si="43"/>
        <v>0.13702500000000001</v>
      </c>
      <c r="AQ43" s="101">
        <f t="shared" si="44"/>
        <v>9.8999999999999991E-3</v>
      </c>
      <c r="AR43" s="100">
        <f t="shared" si="24"/>
        <v>11.3692954494686</v>
      </c>
      <c r="AS43" s="98">
        <f t="shared" si="25"/>
        <v>240</v>
      </c>
      <c r="AT43" s="101">
        <f t="shared" si="26"/>
        <v>95.477054813262143</v>
      </c>
    </row>
    <row r="44" spans="17:46" x14ac:dyDescent="0.25">
      <c r="Q44" s="32">
        <v>37</v>
      </c>
      <c r="R44" s="100">
        <f t="shared" si="0"/>
        <v>100</v>
      </c>
      <c r="S44" s="98">
        <f t="shared" si="30"/>
        <v>2.4666666666666668</v>
      </c>
      <c r="T44" s="98">
        <f t="shared" si="2"/>
        <v>22</v>
      </c>
      <c r="U44" s="101">
        <f t="shared" si="31"/>
        <v>12.457912457912458</v>
      </c>
      <c r="V44" s="100">
        <f t="shared" si="32"/>
        <v>2</v>
      </c>
      <c r="W44" s="98">
        <f t="shared" si="33"/>
        <v>0.78</v>
      </c>
      <c r="X44" s="101">
        <f t="shared" si="34"/>
        <v>0.21999999999999997</v>
      </c>
      <c r="Y44" s="100">
        <f t="shared" si="35"/>
        <v>10.43161094224924</v>
      </c>
      <c r="Z44" s="98">
        <f t="shared" si="28"/>
        <v>17.673717929037078</v>
      </c>
      <c r="AA44" s="98">
        <f t="shared" si="29"/>
        <v>12.816699720022115</v>
      </c>
      <c r="AB44" s="98">
        <v>0</v>
      </c>
      <c r="AC44" s="98">
        <f t="shared" si="36"/>
        <v>0.18233724880166863</v>
      </c>
      <c r="AD44" s="101">
        <f t="shared" si="19"/>
        <v>0.18233724880166863</v>
      </c>
      <c r="AE44" s="100">
        <f t="shared" si="27"/>
        <v>9.717171717171718</v>
      </c>
      <c r="AF44" s="98">
        <f t="shared" si="20"/>
        <v>11.319402702276637</v>
      </c>
      <c r="AG44" s="98">
        <f t="shared" si="37"/>
        <v>0.6022057244206459</v>
      </c>
      <c r="AH44" s="98">
        <f t="shared" si="38"/>
        <v>6.0466497817535183</v>
      </c>
      <c r="AI44" s="101">
        <f t="shared" si="21"/>
        <v>6.6488555061741641</v>
      </c>
      <c r="AJ44" s="100">
        <f t="shared" si="22"/>
        <v>2.7407407407407405</v>
      </c>
      <c r="AK44" s="98">
        <f t="shared" si="39"/>
        <v>6.0115650355716257</v>
      </c>
      <c r="AL44" s="98">
        <f t="shared" si="40"/>
        <v>4.1933333333333334</v>
      </c>
      <c r="AM44" s="98">
        <f t="shared" si="41"/>
        <v>0.35594999999999999</v>
      </c>
      <c r="AN44" s="101">
        <f t="shared" si="23"/>
        <v>4.5492833333333333</v>
      </c>
      <c r="AO44" s="100">
        <f t="shared" si="42"/>
        <v>0.16656754079719993</v>
      </c>
      <c r="AP44" s="98">
        <f t="shared" si="43"/>
        <v>0.13702500000000001</v>
      </c>
      <c r="AQ44" s="101">
        <f t="shared" si="44"/>
        <v>9.8999999999999991E-3</v>
      </c>
      <c r="AR44" s="100">
        <f t="shared" si="24"/>
        <v>11.693968629106365</v>
      </c>
      <c r="AS44" s="98">
        <f t="shared" si="25"/>
        <v>246.66666666666669</v>
      </c>
      <c r="AT44" s="101">
        <f t="shared" si="26"/>
        <v>95.473780819698405</v>
      </c>
    </row>
    <row r="45" spans="17:46" x14ac:dyDescent="0.25">
      <c r="Q45" s="32">
        <v>38</v>
      </c>
      <c r="R45" s="100">
        <f t="shared" si="0"/>
        <v>100</v>
      </c>
      <c r="S45" s="98">
        <f t="shared" si="30"/>
        <v>2.5333333333333332</v>
      </c>
      <c r="T45" s="98">
        <f t="shared" si="2"/>
        <v>22</v>
      </c>
      <c r="U45" s="101">
        <f t="shared" si="31"/>
        <v>12.794612794612792</v>
      </c>
      <c r="V45" s="100">
        <f t="shared" si="32"/>
        <v>2</v>
      </c>
      <c r="W45" s="98">
        <f t="shared" si="33"/>
        <v>0.78</v>
      </c>
      <c r="X45" s="101">
        <f t="shared" si="34"/>
        <v>0.21999999999999997</v>
      </c>
      <c r="Y45" s="100">
        <f t="shared" si="35"/>
        <v>10.43161094224924</v>
      </c>
      <c r="Z45" s="98">
        <f t="shared" si="28"/>
        <v>18.010418265737414</v>
      </c>
      <c r="AA45" s="98">
        <f t="shared" si="29"/>
        <v>13.144212622605961</v>
      </c>
      <c r="AB45" s="98">
        <v>0</v>
      </c>
      <c r="AC45" s="98">
        <f t="shared" si="36"/>
        <v>0.19177506126978403</v>
      </c>
      <c r="AD45" s="101">
        <f t="shared" si="19"/>
        <v>0.19177506126978403</v>
      </c>
      <c r="AE45" s="100">
        <f t="shared" si="27"/>
        <v>9.9797979797979792</v>
      </c>
      <c r="AF45" s="98">
        <f t="shared" si="20"/>
        <v>11.608654265902386</v>
      </c>
      <c r="AG45" s="98">
        <f t="shared" si="37"/>
        <v>0.63337601316669223</v>
      </c>
      <c r="AH45" s="98">
        <f t="shared" si="38"/>
        <v>6.2100727488279359</v>
      </c>
      <c r="AI45" s="101">
        <f t="shared" si="21"/>
        <v>6.8434487619946278</v>
      </c>
      <c r="AJ45" s="100">
        <f t="shared" si="22"/>
        <v>2.814814814814814</v>
      </c>
      <c r="AK45" s="98">
        <f t="shared" si="39"/>
        <v>6.1651822035541057</v>
      </c>
      <c r="AL45" s="98">
        <f t="shared" si="40"/>
        <v>4.3066666666666666</v>
      </c>
      <c r="AM45" s="98">
        <f t="shared" si="41"/>
        <v>0.35594999999999999</v>
      </c>
      <c r="AN45" s="101">
        <f t="shared" si="23"/>
        <v>4.6626166666666666</v>
      </c>
      <c r="AO45" s="100">
        <f t="shared" si="42"/>
        <v>0.17518911002482976</v>
      </c>
      <c r="AP45" s="98">
        <f t="shared" si="43"/>
        <v>0.13702500000000001</v>
      </c>
      <c r="AQ45" s="101">
        <f t="shared" si="44"/>
        <v>9.8999999999999991E-3</v>
      </c>
      <c r="AR45" s="100">
        <f t="shared" si="24"/>
        <v>12.019954599955907</v>
      </c>
      <c r="AS45" s="98">
        <f t="shared" si="25"/>
        <v>253.33333333333331</v>
      </c>
      <c r="AT45" s="101">
        <f t="shared" si="26"/>
        <v>95.470207023408832</v>
      </c>
    </row>
    <row r="46" spans="17:46" x14ac:dyDescent="0.25">
      <c r="Q46" s="32">
        <v>39</v>
      </c>
      <c r="R46" s="100">
        <f t="shared" si="0"/>
        <v>100</v>
      </c>
      <c r="S46" s="98">
        <f t="shared" si="30"/>
        <v>2.6</v>
      </c>
      <c r="T46" s="98">
        <f t="shared" si="2"/>
        <v>22</v>
      </c>
      <c r="U46" s="101">
        <f t="shared" si="31"/>
        <v>13.131313131313131</v>
      </c>
      <c r="V46" s="100">
        <f t="shared" si="32"/>
        <v>2</v>
      </c>
      <c r="W46" s="98">
        <f t="shared" si="33"/>
        <v>0.78</v>
      </c>
      <c r="X46" s="101">
        <f t="shared" si="34"/>
        <v>0.21999999999999997</v>
      </c>
      <c r="Y46" s="100">
        <f t="shared" si="35"/>
        <v>10.43161094224924</v>
      </c>
      <c r="Z46" s="98">
        <f t="shared" si="28"/>
        <v>18.347118602437753</v>
      </c>
      <c r="AA46" s="98">
        <f t="shared" si="29"/>
        <v>13.472178497065766</v>
      </c>
      <c r="AB46" s="98">
        <v>0</v>
      </c>
      <c r="AC46" s="98">
        <f t="shared" si="36"/>
        <v>0.20146454873704933</v>
      </c>
      <c r="AD46" s="101">
        <f t="shared" si="19"/>
        <v>0.20146454873704933</v>
      </c>
      <c r="AE46" s="100">
        <f t="shared" si="27"/>
        <v>10.242424242424242</v>
      </c>
      <c r="AF46" s="98">
        <f t="shared" si="20"/>
        <v>11.898305883456896</v>
      </c>
      <c r="AG46" s="98">
        <f t="shared" si="37"/>
        <v>0.66537750961263342</v>
      </c>
      <c r="AH46" s="98">
        <f t="shared" si="38"/>
        <v>6.3734957159023562</v>
      </c>
      <c r="AI46" s="101">
        <f t="shared" si="21"/>
        <v>7.0388732255149895</v>
      </c>
      <c r="AJ46" s="100">
        <f t="shared" si="22"/>
        <v>2.8888888888888884</v>
      </c>
      <c r="AK46" s="98">
        <f t="shared" si="39"/>
        <v>6.3190118341791592</v>
      </c>
      <c r="AL46" s="98">
        <f t="shared" si="40"/>
        <v>4.42</v>
      </c>
      <c r="AM46" s="98">
        <f t="shared" si="41"/>
        <v>0.35594999999999999</v>
      </c>
      <c r="AN46" s="101">
        <f t="shared" si="23"/>
        <v>4.7759499999999999</v>
      </c>
      <c r="AO46" s="100">
        <f t="shared" si="42"/>
        <v>0.18404058776519647</v>
      </c>
      <c r="AP46" s="98">
        <f t="shared" si="43"/>
        <v>0.13702500000000001</v>
      </c>
      <c r="AQ46" s="101">
        <f t="shared" si="44"/>
        <v>9.8999999999999991E-3</v>
      </c>
      <c r="AR46" s="100">
        <f t="shared" si="24"/>
        <v>12.347253362017234</v>
      </c>
      <c r="AS46" s="98">
        <f t="shared" si="25"/>
        <v>260</v>
      </c>
      <c r="AT46" s="101">
        <f t="shared" si="26"/>
        <v>95.466356568830662</v>
      </c>
    </row>
    <row r="47" spans="17:46" x14ac:dyDescent="0.25">
      <c r="Q47" s="32">
        <v>40</v>
      </c>
      <c r="R47" s="100">
        <f t="shared" si="0"/>
        <v>100</v>
      </c>
      <c r="S47" s="98">
        <f t="shared" si="30"/>
        <v>2.6666666666666665</v>
      </c>
      <c r="T47" s="98">
        <f t="shared" si="2"/>
        <v>22</v>
      </c>
      <c r="U47" s="101">
        <f t="shared" si="31"/>
        <v>13.468013468013465</v>
      </c>
      <c r="V47" s="100">
        <f t="shared" si="32"/>
        <v>2</v>
      </c>
      <c r="W47" s="98">
        <f t="shared" si="33"/>
        <v>0.78</v>
      </c>
      <c r="X47" s="101">
        <f t="shared" si="34"/>
        <v>0.21999999999999997</v>
      </c>
      <c r="Y47" s="100">
        <f t="shared" si="35"/>
        <v>10.43161094224924</v>
      </c>
      <c r="Z47" s="98">
        <f t="shared" si="28"/>
        <v>18.683818939138085</v>
      </c>
      <c r="AA47" s="98">
        <f t="shared" si="29"/>
        <v>13.800565049257823</v>
      </c>
      <c r="AB47" s="98">
        <v>0</v>
      </c>
      <c r="AC47" s="98">
        <f t="shared" si="36"/>
        <v>0.21140571120346421</v>
      </c>
      <c r="AD47" s="101">
        <f t="shared" si="19"/>
        <v>0.21140571120346421</v>
      </c>
      <c r="AE47" s="100">
        <f t="shared" si="27"/>
        <v>10.505050505050503</v>
      </c>
      <c r="AF47" s="98">
        <f t="shared" si="20"/>
        <v>12.188329033524708</v>
      </c>
      <c r="AG47" s="98">
        <f t="shared" si="37"/>
        <v>0.69821021375846837</v>
      </c>
      <c r="AH47" s="98">
        <f t="shared" si="38"/>
        <v>6.5369186829767738</v>
      </c>
      <c r="AI47" s="101">
        <f t="shared" si="21"/>
        <v>7.2351288967352421</v>
      </c>
      <c r="AJ47" s="100">
        <f t="shared" si="22"/>
        <v>2.9629629629629619</v>
      </c>
      <c r="AK47" s="98">
        <f t="shared" si="39"/>
        <v>6.4730387801507296</v>
      </c>
      <c r="AL47" s="98">
        <f t="shared" si="40"/>
        <v>4.5333333333333332</v>
      </c>
      <c r="AM47" s="98">
        <f t="shared" si="41"/>
        <v>0.35594999999999999</v>
      </c>
      <c r="AN47" s="101">
        <f t="shared" si="23"/>
        <v>4.8892833333333332</v>
      </c>
      <c r="AO47" s="100">
        <f t="shared" si="42"/>
        <v>0.19312197401829972</v>
      </c>
      <c r="AP47" s="98">
        <f t="shared" si="43"/>
        <v>0.13702500000000001</v>
      </c>
      <c r="AQ47" s="101">
        <f t="shared" si="44"/>
        <v>9.8999999999999991E-3</v>
      </c>
      <c r="AR47" s="100">
        <f t="shared" si="24"/>
        <v>12.67586491529034</v>
      </c>
      <c r="AS47" s="98">
        <f t="shared" si="25"/>
        <v>266.66666666666663</v>
      </c>
      <c r="AT47" s="101">
        <f t="shared" si="26"/>
        <v>95.462250290528601</v>
      </c>
    </row>
    <row r="48" spans="17:46" x14ac:dyDescent="0.25">
      <c r="Q48" s="32">
        <v>41</v>
      </c>
      <c r="R48" s="100">
        <f t="shared" si="0"/>
        <v>100</v>
      </c>
      <c r="S48" s="98">
        <f t="shared" si="30"/>
        <v>2.7333333333333334</v>
      </c>
      <c r="T48" s="98">
        <f t="shared" si="2"/>
        <v>22</v>
      </c>
      <c r="U48" s="101">
        <f t="shared" si="31"/>
        <v>13.804713804713803</v>
      </c>
      <c r="V48" s="100">
        <f t="shared" si="32"/>
        <v>2</v>
      </c>
      <c r="W48" s="98">
        <f t="shared" si="33"/>
        <v>0.78</v>
      </c>
      <c r="X48" s="101">
        <f t="shared" si="34"/>
        <v>0.21999999999999997</v>
      </c>
      <c r="Y48" s="100">
        <f t="shared" si="35"/>
        <v>10.43161094224924</v>
      </c>
      <c r="Z48" s="98">
        <f t="shared" si="28"/>
        <v>19.020519275838424</v>
      </c>
      <c r="AA48" s="98">
        <f t="shared" si="29"/>
        <v>14.129342947719131</v>
      </c>
      <c r="AB48" s="98">
        <v>0</v>
      </c>
      <c r="AC48" s="98">
        <f t="shared" si="36"/>
        <v>0.22159854866902901</v>
      </c>
      <c r="AD48" s="101">
        <f t="shared" si="19"/>
        <v>0.22159854866902901</v>
      </c>
      <c r="AE48" s="100">
        <f t="shared" si="27"/>
        <v>10.767676767676766</v>
      </c>
      <c r="AF48" s="98">
        <f t="shared" si="20"/>
        <v>12.478697811259119</v>
      </c>
      <c r="AG48" s="98">
        <f t="shared" si="37"/>
        <v>0.73187412560419873</v>
      </c>
      <c r="AH48" s="98">
        <f t="shared" si="38"/>
        <v>6.700341650051195</v>
      </c>
      <c r="AI48" s="101">
        <f t="shared" si="21"/>
        <v>7.4322157756553935</v>
      </c>
      <c r="AJ48" s="100">
        <f t="shared" si="22"/>
        <v>3.0370370370370363</v>
      </c>
      <c r="AK48" s="98">
        <f t="shared" si="39"/>
        <v>6.6272492837931853</v>
      </c>
      <c r="AL48" s="98">
        <f t="shared" si="40"/>
        <v>4.6466666666666665</v>
      </c>
      <c r="AM48" s="98">
        <f t="shared" si="41"/>
        <v>0.35594999999999999</v>
      </c>
      <c r="AN48" s="101">
        <f t="shared" si="23"/>
        <v>5.0026166666666665</v>
      </c>
      <c r="AO48" s="100">
        <f t="shared" si="42"/>
        <v>0.20243326878414006</v>
      </c>
      <c r="AP48" s="98">
        <f t="shared" si="43"/>
        <v>0.13702500000000001</v>
      </c>
      <c r="AQ48" s="101">
        <f t="shared" si="44"/>
        <v>9.8999999999999991E-3</v>
      </c>
      <c r="AR48" s="100">
        <f t="shared" si="24"/>
        <v>13.005789259775227</v>
      </c>
      <c r="AS48" s="98">
        <f t="shared" si="25"/>
        <v>273.33333333333331</v>
      </c>
      <c r="AT48" s="101">
        <f t="shared" si="26"/>
        <v>95.457906994338103</v>
      </c>
    </row>
    <row r="49" spans="17:46" x14ac:dyDescent="0.25">
      <c r="Q49" s="32">
        <v>42</v>
      </c>
      <c r="R49" s="100">
        <f t="shared" si="0"/>
        <v>100</v>
      </c>
      <c r="S49" s="98">
        <f t="shared" si="30"/>
        <v>2.8</v>
      </c>
      <c r="T49" s="98">
        <f t="shared" si="2"/>
        <v>22</v>
      </c>
      <c r="U49" s="101">
        <f t="shared" si="31"/>
        <v>14.14141414141414</v>
      </c>
      <c r="V49" s="100">
        <f t="shared" si="32"/>
        <v>2</v>
      </c>
      <c r="W49" s="98">
        <f t="shared" si="33"/>
        <v>0.78</v>
      </c>
      <c r="X49" s="101">
        <f t="shared" si="34"/>
        <v>0.21999999999999997</v>
      </c>
      <c r="Y49" s="100">
        <f t="shared" si="35"/>
        <v>10.43161094224924</v>
      </c>
      <c r="Z49" s="98">
        <f t="shared" si="28"/>
        <v>19.35721961253876</v>
      </c>
      <c r="AA49" s="98">
        <f t="shared" si="29"/>
        <v>14.45848549548646</v>
      </c>
      <c r="AB49" s="98">
        <v>0</v>
      </c>
      <c r="AC49" s="98">
        <f t="shared" si="36"/>
        <v>0.23204306113374351</v>
      </c>
      <c r="AD49" s="101">
        <f t="shared" si="19"/>
        <v>0.23204306113374351</v>
      </c>
      <c r="AE49" s="100">
        <f t="shared" si="27"/>
        <v>11.030303030303029</v>
      </c>
      <c r="AF49" s="98">
        <f t="shared" si="20"/>
        <v>12.769388638540612</v>
      </c>
      <c r="AG49" s="98">
        <f t="shared" si="37"/>
        <v>0.76636924514982341</v>
      </c>
      <c r="AH49" s="98">
        <f t="shared" si="38"/>
        <v>6.8637646171256144</v>
      </c>
      <c r="AI49" s="101">
        <f t="shared" si="21"/>
        <v>7.6301338622754376</v>
      </c>
      <c r="AJ49" s="100">
        <f t="shared" si="22"/>
        <v>3.1111111111111103</v>
      </c>
      <c r="AK49" s="98">
        <f t="shared" si="39"/>
        <v>6.7816308231208158</v>
      </c>
      <c r="AL49" s="98">
        <f t="shared" si="40"/>
        <v>4.76</v>
      </c>
      <c r="AM49" s="98">
        <f t="shared" si="41"/>
        <v>0.35594999999999999</v>
      </c>
      <c r="AN49" s="101">
        <f t="shared" si="23"/>
        <v>5.1159499999999998</v>
      </c>
      <c r="AO49" s="100">
        <f t="shared" si="42"/>
        <v>0.21197447206271708</v>
      </c>
      <c r="AP49" s="98">
        <f t="shared" si="43"/>
        <v>0.13702500000000001</v>
      </c>
      <c r="AQ49" s="101">
        <f t="shared" si="44"/>
        <v>9.8999999999999991E-3</v>
      </c>
      <c r="AR49" s="100">
        <f t="shared" si="24"/>
        <v>13.337026395471899</v>
      </c>
      <c r="AS49" s="98">
        <f t="shared" si="25"/>
        <v>280</v>
      </c>
      <c r="AT49" s="101">
        <f t="shared" si="26"/>
        <v>95.453343698421762</v>
      </c>
    </row>
    <row r="50" spans="17:46" x14ac:dyDescent="0.25">
      <c r="Q50" s="32">
        <v>43</v>
      </c>
      <c r="R50" s="100">
        <f t="shared" si="0"/>
        <v>100</v>
      </c>
      <c r="S50" s="98">
        <f t="shared" si="30"/>
        <v>2.8666666666666667</v>
      </c>
      <c r="T50" s="98">
        <f t="shared" si="2"/>
        <v>22</v>
      </c>
      <c r="U50" s="101">
        <f t="shared" si="31"/>
        <v>14.478114478114479</v>
      </c>
      <c r="V50" s="100">
        <f t="shared" si="32"/>
        <v>2</v>
      </c>
      <c r="W50" s="98">
        <f t="shared" si="33"/>
        <v>0.78</v>
      </c>
      <c r="X50" s="101">
        <f t="shared" si="34"/>
        <v>0.21999999999999997</v>
      </c>
      <c r="Y50" s="100">
        <f t="shared" si="35"/>
        <v>10.43161094224924</v>
      </c>
      <c r="Z50" s="98">
        <f t="shared" si="28"/>
        <v>19.693919949239099</v>
      </c>
      <c r="AA50" s="98">
        <f t="shared" si="29"/>
        <v>14.787968344082721</v>
      </c>
      <c r="AB50" s="98">
        <v>0</v>
      </c>
      <c r="AC50" s="98">
        <f t="shared" si="36"/>
        <v>0.24273924859760787</v>
      </c>
      <c r="AD50" s="101">
        <f t="shared" si="19"/>
        <v>0.24273924859760787</v>
      </c>
      <c r="AE50" s="100">
        <f t="shared" si="27"/>
        <v>11.292929292929294</v>
      </c>
      <c r="AF50" s="98">
        <f t="shared" si="20"/>
        <v>13.060380011376477</v>
      </c>
      <c r="AG50" s="98">
        <f t="shared" si="37"/>
        <v>0.8016955723953425</v>
      </c>
      <c r="AH50" s="98">
        <f t="shared" si="38"/>
        <v>7.0271875842000346</v>
      </c>
      <c r="AI50" s="101">
        <f t="shared" si="21"/>
        <v>7.8288831565953769</v>
      </c>
      <c r="AJ50" s="100">
        <f t="shared" si="22"/>
        <v>3.1851851851851851</v>
      </c>
      <c r="AK50" s="98">
        <f t="shared" si="39"/>
        <v>6.9361719776855573</v>
      </c>
      <c r="AL50" s="98">
        <f t="shared" si="40"/>
        <v>4.8733333333333331</v>
      </c>
      <c r="AM50" s="98">
        <f t="shared" si="41"/>
        <v>0.35594999999999999</v>
      </c>
      <c r="AN50" s="101">
        <f t="shared" si="23"/>
        <v>5.2292833333333331</v>
      </c>
      <c r="AO50" s="100">
        <f t="shared" si="42"/>
        <v>0.22174558385403087</v>
      </c>
      <c r="AP50" s="98">
        <f t="shared" si="43"/>
        <v>0.13702500000000001</v>
      </c>
      <c r="AQ50" s="101">
        <f t="shared" si="44"/>
        <v>9.8999999999999991E-3</v>
      </c>
      <c r="AR50" s="100">
        <f t="shared" si="24"/>
        <v>13.669576322380349</v>
      </c>
      <c r="AS50" s="98">
        <f t="shared" si="25"/>
        <v>286.66666666666669</v>
      </c>
      <c r="AT50" s="101">
        <f t="shared" si="26"/>
        <v>95.448575840752298</v>
      </c>
    </row>
    <row r="51" spans="17:46" x14ac:dyDescent="0.25">
      <c r="Q51" s="32">
        <v>44</v>
      </c>
      <c r="R51" s="100">
        <f t="shared" si="0"/>
        <v>100</v>
      </c>
      <c r="S51" s="98">
        <f t="shared" si="30"/>
        <v>2.9333333333333331</v>
      </c>
      <c r="T51" s="98">
        <f t="shared" si="2"/>
        <v>22</v>
      </c>
      <c r="U51" s="101">
        <f t="shared" si="31"/>
        <v>14.814814814814813</v>
      </c>
      <c r="V51" s="100">
        <f t="shared" si="32"/>
        <v>2</v>
      </c>
      <c r="W51" s="98">
        <f t="shared" si="33"/>
        <v>0.78</v>
      </c>
      <c r="X51" s="101">
        <f t="shared" si="34"/>
        <v>0.21999999999999997</v>
      </c>
      <c r="Y51" s="100">
        <f t="shared" si="35"/>
        <v>10.43161094224924</v>
      </c>
      <c r="Z51" s="98">
        <f t="shared" si="28"/>
        <v>20.030620285939435</v>
      </c>
      <c r="AA51" s="98">
        <f t="shared" si="29"/>
        <v>15.11776924355776</v>
      </c>
      <c r="AB51" s="98">
        <v>0</v>
      </c>
      <c r="AC51" s="98">
        <f t="shared" si="36"/>
        <v>0.2536871110606217</v>
      </c>
      <c r="AD51" s="101">
        <f t="shared" si="19"/>
        <v>0.2536871110606217</v>
      </c>
      <c r="AE51" s="100">
        <f t="shared" si="27"/>
        <v>11.555555555555555</v>
      </c>
      <c r="AF51" s="98">
        <f t="shared" si="20"/>
        <v>13.351652279142819</v>
      </c>
      <c r="AG51" s="98">
        <f t="shared" si="37"/>
        <v>0.83785310734075635</v>
      </c>
      <c r="AH51" s="98">
        <f t="shared" si="38"/>
        <v>7.1906105512744523</v>
      </c>
      <c r="AI51" s="101">
        <f t="shared" si="21"/>
        <v>8.0284636586152089</v>
      </c>
      <c r="AJ51" s="100">
        <f t="shared" si="22"/>
        <v>3.2592592592592586</v>
      </c>
      <c r="AK51" s="98">
        <f t="shared" si="39"/>
        <v>7.0908623113357256</v>
      </c>
      <c r="AL51" s="98">
        <f t="shared" si="40"/>
        <v>4.9866666666666664</v>
      </c>
      <c r="AM51" s="98">
        <f t="shared" si="41"/>
        <v>0.35594999999999999</v>
      </c>
      <c r="AN51" s="101">
        <f t="shared" si="23"/>
        <v>5.3426166666666663</v>
      </c>
      <c r="AO51" s="100">
        <f t="shared" si="42"/>
        <v>0.23174660415808152</v>
      </c>
      <c r="AP51" s="98">
        <f t="shared" si="43"/>
        <v>0.13702500000000001</v>
      </c>
      <c r="AQ51" s="101">
        <f t="shared" si="44"/>
        <v>9.8999999999999991E-3</v>
      </c>
      <c r="AR51" s="100">
        <f t="shared" si="24"/>
        <v>14.003439040500577</v>
      </c>
      <c r="AS51" s="98">
        <f t="shared" si="25"/>
        <v>293.33333333333331</v>
      </c>
      <c r="AT51" s="101">
        <f t="shared" si="26"/>
        <v>95.443617458353714</v>
      </c>
    </row>
    <row r="52" spans="17:46" x14ac:dyDescent="0.25">
      <c r="Q52" s="32">
        <v>45</v>
      </c>
      <c r="R52" s="100">
        <f t="shared" si="0"/>
        <v>100</v>
      </c>
      <c r="S52" s="98">
        <f t="shared" si="30"/>
        <v>3</v>
      </c>
      <c r="T52" s="98">
        <f t="shared" si="2"/>
        <v>22</v>
      </c>
      <c r="U52" s="101">
        <f t="shared" si="31"/>
        <v>15.15151515151515</v>
      </c>
      <c r="V52" s="100">
        <f t="shared" si="32"/>
        <v>2</v>
      </c>
      <c r="W52" s="98">
        <f t="shared" si="33"/>
        <v>0.78</v>
      </c>
      <c r="X52" s="101">
        <f t="shared" si="34"/>
        <v>0.21999999999999997</v>
      </c>
      <c r="Y52" s="100">
        <f t="shared" si="35"/>
        <v>10.43161094224924</v>
      </c>
      <c r="Z52" s="98">
        <f t="shared" si="28"/>
        <v>20.36732062263977</v>
      </c>
      <c r="AA52" s="98">
        <f t="shared" si="29"/>
        <v>15.447867823450512</v>
      </c>
      <c r="AB52" s="98">
        <v>0</v>
      </c>
      <c r="AC52" s="98">
        <f t="shared" si="36"/>
        <v>0.26488664852278543</v>
      </c>
      <c r="AD52" s="101">
        <f t="shared" si="19"/>
        <v>0.26488664852278543</v>
      </c>
      <c r="AE52" s="100">
        <f t="shared" si="27"/>
        <v>11.818181818181818</v>
      </c>
      <c r="AF52" s="98">
        <f t="shared" si="20"/>
        <v>13.643187451135537</v>
      </c>
      <c r="AG52" s="98">
        <f t="shared" si="37"/>
        <v>0.8748418499860644</v>
      </c>
      <c r="AH52" s="98">
        <f t="shared" si="38"/>
        <v>7.3540335183488716</v>
      </c>
      <c r="AI52" s="101">
        <f t="shared" si="21"/>
        <v>8.2288753683349363</v>
      </c>
      <c r="AJ52" s="100">
        <f t="shared" si="22"/>
        <v>3.3333333333333326</v>
      </c>
      <c r="AK52" s="98">
        <f t="shared" si="39"/>
        <v>7.2456922694781545</v>
      </c>
      <c r="AL52" s="98">
        <f t="shared" si="40"/>
        <v>5.0999999999999996</v>
      </c>
      <c r="AM52" s="98">
        <f t="shared" si="41"/>
        <v>0.35594999999999999</v>
      </c>
      <c r="AN52" s="101">
        <f t="shared" si="23"/>
        <v>5.4559499999999996</v>
      </c>
      <c r="AO52" s="100">
        <f t="shared" si="42"/>
        <v>0.24197753297486885</v>
      </c>
      <c r="AP52" s="98">
        <f t="shared" si="43"/>
        <v>0.13702500000000001</v>
      </c>
      <c r="AQ52" s="101">
        <f t="shared" si="44"/>
        <v>9.8999999999999991E-3</v>
      </c>
      <c r="AR52" s="100">
        <f t="shared" si="24"/>
        <v>14.338614549832592</v>
      </c>
      <c r="AS52" s="98">
        <f t="shared" si="25"/>
        <v>300</v>
      </c>
      <c r="AT52" s="101">
        <f t="shared" si="26"/>
        <v>95.438481342686117</v>
      </c>
    </row>
    <row r="53" spans="17:46" x14ac:dyDescent="0.25">
      <c r="Q53" s="32">
        <v>46</v>
      </c>
      <c r="R53" s="100">
        <f t="shared" si="0"/>
        <v>100</v>
      </c>
      <c r="S53" s="98">
        <f t="shared" si="30"/>
        <v>3.0666666666666664</v>
      </c>
      <c r="T53" s="98">
        <f t="shared" si="2"/>
        <v>22</v>
      </c>
      <c r="U53" s="101">
        <f t="shared" si="31"/>
        <v>15.488215488215486</v>
      </c>
      <c r="V53" s="100">
        <f t="shared" si="32"/>
        <v>2</v>
      </c>
      <c r="W53" s="98">
        <f t="shared" si="33"/>
        <v>0.78</v>
      </c>
      <c r="X53" s="101">
        <f t="shared" si="34"/>
        <v>0.21999999999999997</v>
      </c>
      <c r="Y53" s="100">
        <f t="shared" si="35"/>
        <v>10.43161094224924</v>
      </c>
      <c r="Z53" s="98">
        <f t="shared" si="28"/>
        <v>20.704020959340106</v>
      </c>
      <c r="AA53" s="98">
        <f t="shared" si="29"/>
        <v>15.778245400347991</v>
      </c>
      <c r="AB53" s="98">
        <v>0</v>
      </c>
      <c r="AC53" s="98">
        <f t="shared" si="36"/>
        <v>0.27633786098409885</v>
      </c>
      <c r="AD53" s="101">
        <f t="shared" si="19"/>
        <v>0.27633786098409885</v>
      </c>
      <c r="AE53" s="100">
        <f t="shared" si="27"/>
        <v>12.08080808080808</v>
      </c>
      <c r="AF53" s="98">
        <f t="shared" si="20"/>
        <v>13.934969026611075</v>
      </c>
      <c r="AG53" s="98">
        <f t="shared" si="37"/>
        <v>0.91266180033126698</v>
      </c>
      <c r="AH53" s="98">
        <f t="shared" si="38"/>
        <v>7.5174564854232901</v>
      </c>
      <c r="AI53" s="101">
        <f t="shared" si="21"/>
        <v>8.4301182857545562</v>
      </c>
      <c r="AJ53" s="100">
        <f t="shared" si="22"/>
        <v>3.4074074074074066</v>
      </c>
      <c r="AK53" s="98">
        <f t="shared" si="39"/>
        <v>7.4006530888153756</v>
      </c>
      <c r="AL53" s="98">
        <f t="shared" si="40"/>
        <v>5.2133333333333329</v>
      </c>
      <c r="AM53" s="98">
        <f t="shared" si="41"/>
        <v>0.35594999999999999</v>
      </c>
      <c r="AN53" s="101">
        <f t="shared" si="23"/>
        <v>5.5692833333333329</v>
      </c>
      <c r="AO53" s="100">
        <f t="shared" si="42"/>
        <v>0.25243837030439298</v>
      </c>
      <c r="AP53" s="98">
        <f t="shared" si="43"/>
        <v>0.13702500000000001</v>
      </c>
      <c r="AQ53" s="101">
        <f t="shared" si="44"/>
        <v>9.8999999999999991E-3</v>
      </c>
      <c r="AR53" s="100">
        <f t="shared" si="24"/>
        <v>14.67510285037638</v>
      </c>
      <c r="AS53" s="98">
        <f t="shared" si="25"/>
        <v>306.66666666666663</v>
      </c>
      <c r="AT53" s="101">
        <f t="shared" si="26"/>
        <v>95.43317917479817</v>
      </c>
    </row>
    <row r="54" spans="17:46" x14ac:dyDescent="0.25">
      <c r="Q54" s="32">
        <v>47</v>
      </c>
      <c r="R54" s="100">
        <f t="shared" si="0"/>
        <v>100</v>
      </c>
      <c r="S54" s="98">
        <f t="shared" si="30"/>
        <v>3.1333333333333333</v>
      </c>
      <c r="T54" s="98">
        <f t="shared" si="2"/>
        <v>22</v>
      </c>
      <c r="U54" s="101">
        <f t="shared" si="31"/>
        <v>15.824915824915823</v>
      </c>
      <c r="V54" s="100">
        <f t="shared" si="32"/>
        <v>2</v>
      </c>
      <c r="W54" s="98">
        <f t="shared" si="33"/>
        <v>0.78</v>
      </c>
      <c r="X54" s="101">
        <f t="shared" si="34"/>
        <v>0.21999999999999997</v>
      </c>
      <c r="Y54" s="100">
        <f t="shared" si="35"/>
        <v>10.43161094224924</v>
      </c>
      <c r="Z54" s="98">
        <f t="shared" si="28"/>
        <v>21.040721296040445</v>
      </c>
      <c r="AA54" s="98">
        <f t="shared" si="29"/>
        <v>16.108884808386822</v>
      </c>
      <c r="AB54" s="98">
        <v>0</v>
      </c>
      <c r="AC54" s="98">
        <f t="shared" si="36"/>
        <v>0.28804074844456207</v>
      </c>
      <c r="AD54" s="101">
        <f t="shared" si="19"/>
        <v>0.28804074844456207</v>
      </c>
      <c r="AE54" s="100">
        <f t="shared" si="27"/>
        <v>12.343434343434343</v>
      </c>
      <c r="AF54" s="98">
        <f t="shared" si="20"/>
        <v>14.226981845089394</v>
      </c>
      <c r="AG54" s="98">
        <f t="shared" si="37"/>
        <v>0.9513129583763652</v>
      </c>
      <c r="AH54" s="98">
        <f t="shared" si="38"/>
        <v>7.6808794524977113</v>
      </c>
      <c r="AI54" s="101">
        <f t="shared" si="21"/>
        <v>8.632192410874076</v>
      </c>
      <c r="AJ54" s="100">
        <f t="shared" si="22"/>
        <v>3.481481481481481</v>
      </c>
      <c r="AK54" s="98">
        <f t="shared" si="39"/>
        <v>7.5557367178437795</v>
      </c>
      <c r="AL54" s="98">
        <f t="shared" si="40"/>
        <v>5.3266666666666662</v>
      </c>
      <c r="AM54" s="98">
        <f t="shared" si="41"/>
        <v>0.35594999999999999</v>
      </c>
      <c r="AN54" s="101">
        <f t="shared" si="23"/>
        <v>5.6826166666666662</v>
      </c>
      <c r="AO54" s="100">
        <f t="shared" si="42"/>
        <v>0.26312911614665419</v>
      </c>
      <c r="AP54" s="98">
        <f t="shared" si="43"/>
        <v>0.13702500000000001</v>
      </c>
      <c r="AQ54" s="101">
        <f t="shared" si="44"/>
        <v>9.8999999999999991E-3</v>
      </c>
      <c r="AR54" s="100">
        <f t="shared" si="24"/>
        <v>15.012903942131958</v>
      </c>
      <c r="AS54" s="98">
        <f t="shared" si="25"/>
        <v>313.33333333333331</v>
      </c>
      <c r="AT54" s="101">
        <f t="shared" si="26"/>
        <v>95.427721643255211</v>
      </c>
    </row>
    <row r="55" spans="17:46" x14ac:dyDescent="0.25">
      <c r="Q55" s="32">
        <v>48</v>
      </c>
      <c r="R55" s="100">
        <f t="shared" si="0"/>
        <v>100</v>
      </c>
      <c r="S55" s="98">
        <f t="shared" si="30"/>
        <v>3.2</v>
      </c>
      <c r="T55" s="98">
        <f t="shared" si="2"/>
        <v>22</v>
      </c>
      <c r="U55" s="101">
        <f t="shared" si="31"/>
        <v>16.161616161616163</v>
      </c>
      <c r="V55" s="100">
        <f t="shared" si="32"/>
        <v>2</v>
      </c>
      <c r="W55" s="98">
        <f t="shared" si="33"/>
        <v>0.78</v>
      </c>
      <c r="X55" s="101">
        <f t="shared" si="34"/>
        <v>0.21999999999999997</v>
      </c>
      <c r="Y55" s="100">
        <f t="shared" si="35"/>
        <v>10.43161094224924</v>
      </c>
      <c r="Z55" s="98">
        <f t="shared" si="28"/>
        <v>21.377421632740784</v>
      </c>
      <c r="AA55" s="98">
        <f t="shared" si="29"/>
        <v>16.439770249599512</v>
      </c>
      <c r="AB55" s="98">
        <v>0</v>
      </c>
      <c r="AC55" s="98">
        <f t="shared" si="36"/>
        <v>0.29999531090417508</v>
      </c>
      <c r="AD55" s="101">
        <f t="shared" si="19"/>
        <v>0.29999531090417508</v>
      </c>
      <c r="AE55" s="100">
        <f t="shared" si="27"/>
        <v>12.606060606060607</v>
      </c>
      <c r="AF55" s="98">
        <f t="shared" si="20"/>
        <v>14.519211954183378</v>
      </c>
      <c r="AG55" s="98">
        <f t="shared" si="37"/>
        <v>0.99079532412135718</v>
      </c>
      <c r="AH55" s="98">
        <f t="shared" si="38"/>
        <v>7.8443024195721307</v>
      </c>
      <c r="AI55" s="101">
        <f t="shared" si="21"/>
        <v>8.8350977436934883</v>
      </c>
      <c r="AJ55" s="100">
        <f t="shared" si="22"/>
        <v>3.5555555555555554</v>
      </c>
      <c r="AK55" s="98">
        <f t="shared" si="39"/>
        <v>7.7109357466597919</v>
      </c>
      <c r="AL55" s="98">
        <f t="shared" si="40"/>
        <v>5.44</v>
      </c>
      <c r="AM55" s="98">
        <f t="shared" si="41"/>
        <v>0.35594999999999999</v>
      </c>
      <c r="AN55" s="101">
        <f t="shared" si="23"/>
        <v>5.7959500000000004</v>
      </c>
      <c r="AO55" s="100">
        <f t="shared" si="42"/>
        <v>0.27404977050165197</v>
      </c>
      <c r="AP55" s="98">
        <f t="shared" si="43"/>
        <v>0.13702500000000001</v>
      </c>
      <c r="AQ55" s="101">
        <f t="shared" si="44"/>
        <v>9.8999999999999991E-3</v>
      </c>
      <c r="AR55" s="100">
        <f t="shared" si="24"/>
        <v>15.352017825099315</v>
      </c>
      <c r="AS55" s="98">
        <f t="shared" si="25"/>
        <v>320</v>
      </c>
      <c r="AT55" s="101">
        <f t="shared" si="26"/>
        <v>95.422118547351019</v>
      </c>
    </row>
    <row r="56" spans="17:46" x14ac:dyDescent="0.25">
      <c r="Q56" s="32">
        <v>49</v>
      </c>
      <c r="R56" s="100">
        <f t="shared" si="0"/>
        <v>100</v>
      </c>
      <c r="S56" s="98">
        <f t="shared" si="30"/>
        <v>3.2666666666666666</v>
      </c>
      <c r="T56" s="98">
        <f t="shared" si="2"/>
        <v>22</v>
      </c>
      <c r="U56" s="101">
        <f t="shared" si="31"/>
        <v>16.498316498316498</v>
      </c>
      <c r="V56" s="100">
        <f t="shared" si="32"/>
        <v>2</v>
      </c>
      <c r="W56" s="98">
        <f t="shared" si="33"/>
        <v>0.78</v>
      </c>
      <c r="X56" s="101">
        <f t="shared" si="34"/>
        <v>0.21999999999999997</v>
      </c>
      <c r="Y56" s="100">
        <f t="shared" si="35"/>
        <v>10.43161094224924</v>
      </c>
      <c r="Z56" s="98">
        <f t="shared" si="28"/>
        <v>21.714121969441116</v>
      </c>
      <c r="AA56" s="98">
        <f t="shared" si="29"/>
        <v>16.770887161472015</v>
      </c>
      <c r="AB56" s="98">
        <v>0</v>
      </c>
      <c r="AC56" s="98">
        <f t="shared" si="36"/>
        <v>0.31220154836293784</v>
      </c>
      <c r="AD56" s="101">
        <f t="shared" si="19"/>
        <v>0.31220154836293784</v>
      </c>
      <c r="AE56" s="100">
        <f t="shared" si="27"/>
        <v>12.868686868686869</v>
      </c>
      <c r="AF56" s="98">
        <f t="shared" si="20"/>
        <v>14.811646492628864</v>
      </c>
      <c r="AG56" s="98">
        <f t="shared" si="37"/>
        <v>1.031108897566243</v>
      </c>
      <c r="AH56" s="98">
        <f t="shared" si="38"/>
        <v>8.0077253866465501</v>
      </c>
      <c r="AI56" s="101">
        <f t="shared" si="21"/>
        <v>9.0388342842127933</v>
      </c>
      <c r="AJ56" s="100">
        <f t="shared" si="22"/>
        <v>3.6296296296296293</v>
      </c>
      <c r="AK56" s="98">
        <f t="shared" si="39"/>
        <v>7.8662433448388756</v>
      </c>
      <c r="AL56" s="98">
        <f t="shared" si="40"/>
        <v>5.5533333333333328</v>
      </c>
      <c r="AM56" s="98">
        <f t="shared" si="41"/>
        <v>0.35594999999999999</v>
      </c>
      <c r="AN56" s="101">
        <f t="shared" si="23"/>
        <v>5.9092833333333328</v>
      </c>
      <c r="AO56" s="100">
        <f t="shared" si="42"/>
        <v>0.28520033336938638</v>
      </c>
      <c r="AP56" s="98">
        <f t="shared" si="43"/>
        <v>0.13702500000000001</v>
      </c>
      <c r="AQ56" s="101">
        <f t="shared" si="44"/>
        <v>9.8999999999999991E-3</v>
      </c>
      <c r="AR56" s="100">
        <f t="shared" si="24"/>
        <v>15.69244449927845</v>
      </c>
      <c r="AS56" s="98">
        <f t="shared" si="25"/>
        <v>326.66666666666669</v>
      </c>
      <c r="AT56" s="101">
        <f t="shared" si="26"/>
        <v>95.416378887701882</v>
      </c>
    </row>
    <row r="57" spans="17:46" x14ac:dyDescent="0.25">
      <c r="Q57" s="32">
        <v>50</v>
      </c>
      <c r="R57" s="100">
        <f t="shared" si="0"/>
        <v>100</v>
      </c>
      <c r="S57" s="98">
        <f t="shared" si="30"/>
        <v>3.3333333333333335</v>
      </c>
      <c r="T57" s="98">
        <f t="shared" si="2"/>
        <v>22</v>
      </c>
      <c r="U57" s="101">
        <f t="shared" si="31"/>
        <v>16.835016835016837</v>
      </c>
      <c r="V57" s="100">
        <f t="shared" si="32"/>
        <v>2</v>
      </c>
      <c r="W57" s="98">
        <f t="shared" si="33"/>
        <v>0.78</v>
      </c>
      <c r="X57" s="101">
        <f t="shared" si="34"/>
        <v>0.21999999999999997</v>
      </c>
      <c r="Y57" s="100">
        <f t="shared" si="35"/>
        <v>10.43161094224924</v>
      </c>
      <c r="Z57" s="98">
        <f t="shared" si="28"/>
        <v>22.050822306141455</v>
      </c>
      <c r="AA57" s="98">
        <f t="shared" si="29"/>
        <v>17.102222099467216</v>
      </c>
      <c r="AB57" s="98">
        <v>0</v>
      </c>
      <c r="AC57" s="98">
        <f t="shared" si="36"/>
        <v>0.3246594608208504</v>
      </c>
      <c r="AD57" s="101">
        <f t="shared" si="19"/>
        <v>0.3246594608208504</v>
      </c>
      <c r="AE57" s="100">
        <f t="shared" si="27"/>
        <v>13.131313131313133</v>
      </c>
      <c r="AF57" s="98">
        <f t="shared" si="20"/>
        <v>15.10427358653218</v>
      </c>
      <c r="AG57" s="98">
        <f t="shared" si="37"/>
        <v>1.0722536787110244</v>
      </c>
      <c r="AH57" s="98">
        <f t="shared" si="38"/>
        <v>8.1711483537209713</v>
      </c>
      <c r="AI57" s="101">
        <f t="shared" si="21"/>
        <v>9.2434020324319963</v>
      </c>
      <c r="AJ57" s="100">
        <f t="shared" si="22"/>
        <v>3.7037037037037037</v>
      </c>
      <c r="AK57" s="98">
        <f t="shared" si="39"/>
        <v>8.0216532063341557</v>
      </c>
      <c r="AL57" s="98">
        <f t="shared" si="40"/>
        <v>5.666666666666667</v>
      </c>
      <c r="AM57" s="98">
        <f t="shared" si="41"/>
        <v>0.35594999999999999</v>
      </c>
      <c r="AN57" s="101">
        <f t="shared" si="23"/>
        <v>6.022616666666667</v>
      </c>
      <c r="AO57" s="100">
        <f t="shared" si="42"/>
        <v>0.29658080474985776</v>
      </c>
      <c r="AP57" s="98">
        <f t="shared" si="43"/>
        <v>0.13702500000000001</v>
      </c>
      <c r="AQ57" s="101">
        <f t="shared" si="44"/>
        <v>9.8999999999999991E-3</v>
      </c>
      <c r="AR57" s="100">
        <f t="shared" si="24"/>
        <v>16.034183964669371</v>
      </c>
      <c r="AS57" s="98">
        <f t="shared" si="25"/>
        <v>333.33333333333337</v>
      </c>
      <c r="AT57" s="101">
        <f t="shared" si="26"/>
        <v>95.410510945986843</v>
      </c>
    </row>
    <row r="58" spans="17:46" x14ac:dyDescent="0.25">
      <c r="Q58" s="32">
        <v>51</v>
      </c>
      <c r="R58" s="100">
        <f t="shared" si="0"/>
        <v>100</v>
      </c>
      <c r="S58" s="98">
        <f t="shared" si="30"/>
        <v>3.4</v>
      </c>
      <c r="T58" s="98">
        <f t="shared" si="2"/>
        <v>22</v>
      </c>
      <c r="U58" s="101">
        <f t="shared" si="31"/>
        <v>17.171717171717169</v>
      </c>
      <c r="V58" s="100">
        <f t="shared" si="32"/>
        <v>2</v>
      </c>
      <c r="W58" s="98">
        <f t="shared" si="33"/>
        <v>0.78</v>
      </c>
      <c r="X58" s="101">
        <f t="shared" si="34"/>
        <v>0.21999999999999997</v>
      </c>
      <c r="Y58" s="100">
        <f t="shared" si="35"/>
        <v>10.43161094224924</v>
      </c>
      <c r="Z58" s="98">
        <f t="shared" si="28"/>
        <v>22.387522642841788</v>
      </c>
      <c r="AA58" s="98">
        <f t="shared" si="29"/>
        <v>17.433762632594572</v>
      </c>
      <c r="AB58" s="98">
        <v>0</v>
      </c>
      <c r="AC58" s="98">
        <f t="shared" si="36"/>
        <v>0.33736904827791248</v>
      </c>
      <c r="AD58" s="101">
        <f t="shared" si="19"/>
        <v>0.33736904827791248</v>
      </c>
      <c r="AE58" s="100">
        <f t="shared" si="27"/>
        <v>13.393939393939393</v>
      </c>
      <c r="AF58" s="98">
        <f t="shared" si="20"/>
        <v>15.397082257139747</v>
      </c>
      <c r="AG58" s="98">
        <f t="shared" si="37"/>
        <v>1.1142296675556997</v>
      </c>
      <c r="AH58" s="98">
        <f t="shared" si="38"/>
        <v>8.3345713207953889</v>
      </c>
      <c r="AI58" s="101">
        <f t="shared" si="21"/>
        <v>9.4488009883510884</v>
      </c>
      <c r="AJ58" s="100">
        <f t="shared" si="22"/>
        <v>3.7777777777777768</v>
      </c>
      <c r="AK58" s="98">
        <f t="shared" si="39"/>
        <v>8.1771595004942377</v>
      </c>
      <c r="AL58" s="98">
        <f t="shared" si="40"/>
        <v>5.7799999999999994</v>
      </c>
      <c r="AM58" s="98">
        <f t="shared" si="41"/>
        <v>0.35594999999999999</v>
      </c>
      <c r="AN58" s="101">
        <f t="shared" si="23"/>
        <v>6.1359499999999993</v>
      </c>
      <c r="AO58" s="100">
        <f t="shared" si="42"/>
        <v>0.30819118464306589</v>
      </c>
      <c r="AP58" s="98">
        <f t="shared" si="43"/>
        <v>0.13702500000000001</v>
      </c>
      <c r="AQ58" s="101">
        <f t="shared" si="44"/>
        <v>9.8999999999999991E-3</v>
      </c>
      <c r="AR58" s="100">
        <f t="shared" si="24"/>
        <v>16.377236221272067</v>
      </c>
      <c r="AS58" s="98">
        <f t="shared" si="25"/>
        <v>340</v>
      </c>
      <c r="AT58" s="101">
        <f t="shared" si="26"/>
        <v>95.404522355321376</v>
      </c>
    </row>
    <row r="59" spans="17:46" x14ac:dyDescent="0.25">
      <c r="Q59" s="32">
        <v>52</v>
      </c>
      <c r="R59" s="100">
        <f t="shared" si="0"/>
        <v>100</v>
      </c>
      <c r="S59" s="98">
        <f t="shared" si="30"/>
        <v>3.4666666666666668</v>
      </c>
      <c r="T59" s="98">
        <f t="shared" si="2"/>
        <v>22</v>
      </c>
      <c r="U59" s="101">
        <f t="shared" si="31"/>
        <v>17.508417508417509</v>
      </c>
      <c r="V59" s="100">
        <f t="shared" si="32"/>
        <v>2</v>
      </c>
      <c r="W59" s="98">
        <f t="shared" si="33"/>
        <v>0.78</v>
      </c>
      <c r="X59" s="101">
        <f t="shared" si="34"/>
        <v>0.21999999999999997</v>
      </c>
      <c r="Y59" s="100">
        <f t="shared" si="35"/>
        <v>10.43161094224924</v>
      </c>
      <c r="Z59" s="98">
        <f t="shared" si="28"/>
        <v>22.724222979542127</v>
      </c>
      <c r="AA59" s="98">
        <f t="shared" si="29"/>
        <v>17.765497250380164</v>
      </c>
      <c r="AB59" s="98">
        <v>0</v>
      </c>
      <c r="AC59" s="98">
        <f t="shared" si="36"/>
        <v>0.35033031073412435</v>
      </c>
      <c r="AD59" s="101">
        <f t="shared" si="19"/>
        <v>0.35033031073412435</v>
      </c>
      <c r="AE59" s="100">
        <f t="shared" si="27"/>
        <v>13.656565656565657</v>
      </c>
      <c r="AF59" s="98">
        <f t="shared" si="20"/>
        <v>15.690062338676249</v>
      </c>
      <c r="AG59" s="98">
        <f t="shared" si="37"/>
        <v>1.15703686410027</v>
      </c>
      <c r="AH59" s="98">
        <f t="shared" si="38"/>
        <v>8.4979942878698083</v>
      </c>
      <c r="AI59" s="101">
        <f t="shared" si="21"/>
        <v>9.6550311519700784</v>
      </c>
      <c r="AJ59" s="100">
        <f t="shared" si="22"/>
        <v>3.8518518518518516</v>
      </c>
      <c r="AK59" s="98">
        <f t="shared" si="39"/>
        <v>8.3327568284282911</v>
      </c>
      <c r="AL59" s="98">
        <f t="shared" si="40"/>
        <v>5.8933333333333335</v>
      </c>
      <c r="AM59" s="98">
        <f t="shared" si="41"/>
        <v>0.35594999999999999</v>
      </c>
      <c r="AN59" s="101">
        <f t="shared" si="23"/>
        <v>6.2492833333333335</v>
      </c>
      <c r="AO59" s="100">
        <f t="shared" si="42"/>
        <v>0.32003147304901081</v>
      </c>
      <c r="AP59" s="98">
        <f t="shared" si="43"/>
        <v>0.13702500000000001</v>
      </c>
      <c r="AQ59" s="101">
        <f t="shared" si="44"/>
        <v>9.8999999999999991E-3</v>
      </c>
      <c r="AR59" s="100">
        <f t="shared" si="24"/>
        <v>16.721601269086548</v>
      </c>
      <c r="AS59" s="98">
        <f t="shared" si="25"/>
        <v>346.66666666666669</v>
      </c>
      <c r="AT59" s="101">
        <f t="shared" si="26"/>
        <v>95.39842016252355</v>
      </c>
    </row>
    <row r="60" spans="17:46" x14ac:dyDescent="0.25">
      <c r="Q60" s="32">
        <v>53</v>
      </c>
      <c r="R60" s="100">
        <f t="shared" si="0"/>
        <v>100</v>
      </c>
      <c r="S60" s="98">
        <f t="shared" si="30"/>
        <v>3.5333333333333332</v>
      </c>
      <c r="T60" s="98">
        <f t="shared" si="2"/>
        <v>22</v>
      </c>
      <c r="U60" s="101">
        <f t="shared" si="31"/>
        <v>17.845117845117844</v>
      </c>
      <c r="V60" s="100">
        <f t="shared" si="32"/>
        <v>2</v>
      </c>
      <c r="W60" s="98">
        <f t="shared" si="33"/>
        <v>0.78</v>
      </c>
      <c r="X60" s="101">
        <f t="shared" si="34"/>
        <v>0.21999999999999997</v>
      </c>
      <c r="Y60" s="100">
        <f t="shared" si="35"/>
        <v>10.43161094224924</v>
      </c>
      <c r="Z60" s="98">
        <f t="shared" si="28"/>
        <v>23.060923316242466</v>
      </c>
      <c r="AA60" s="98">
        <f t="shared" si="29"/>
        <v>18.097415279822361</v>
      </c>
      <c r="AB60" s="98">
        <v>0</v>
      </c>
      <c r="AC60" s="98">
        <f t="shared" si="36"/>
        <v>0.36354324818948613</v>
      </c>
      <c r="AD60" s="101">
        <f t="shared" si="19"/>
        <v>0.36354324818948613</v>
      </c>
      <c r="AE60" s="100">
        <f t="shared" si="27"/>
        <v>13.919191919191919</v>
      </c>
      <c r="AF60" s="98">
        <f t="shared" si="20"/>
        <v>15.983204405001876</v>
      </c>
      <c r="AG60" s="98">
        <f t="shared" si="37"/>
        <v>1.2006752683447355</v>
      </c>
      <c r="AH60" s="98">
        <f t="shared" si="38"/>
        <v>8.6614172549442277</v>
      </c>
      <c r="AI60" s="101">
        <f t="shared" si="21"/>
        <v>9.8620925232889629</v>
      </c>
      <c r="AJ60" s="100">
        <f t="shared" si="22"/>
        <v>3.9259259259259252</v>
      </c>
      <c r="AK60" s="98">
        <f t="shared" si="39"/>
        <v>8.4884401840548147</v>
      </c>
      <c r="AL60" s="98">
        <f t="shared" si="40"/>
        <v>6.0066666666666659</v>
      </c>
      <c r="AM60" s="98">
        <f t="shared" si="41"/>
        <v>0.35594999999999999</v>
      </c>
      <c r="AN60" s="101">
        <f t="shared" si="23"/>
        <v>6.3626166666666659</v>
      </c>
      <c r="AO60" s="100">
        <f t="shared" si="42"/>
        <v>0.33210166996769275</v>
      </c>
      <c r="AP60" s="98">
        <f t="shared" si="43"/>
        <v>0.13702500000000001</v>
      </c>
      <c r="AQ60" s="101">
        <f t="shared" si="44"/>
        <v>9.8999999999999991E-3</v>
      </c>
      <c r="AR60" s="100">
        <f t="shared" si="24"/>
        <v>17.067279108112807</v>
      </c>
      <c r="AS60" s="98">
        <f t="shared" si="25"/>
        <v>353.33333333333331</v>
      </c>
      <c r="AT60" s="101">
        <f t="shared" si="26"/>
        <v>95.392210883341662</v>
      </c>
    </row>
    <row r="61" spans="17:46" x14ac:dyDescent="0.25">
      <c r="Q61" s="32">
        <v>54</v>
      </c>
      <c r="R61" s="100">
        <f t="shared" si="0"/>
        <v>100</v>
      </c>
      <c r="S61" s="98">
        <f t="shared" si="30"/>
        <v>3.6</v>
      </c>
      <c r="T61" s="98">
        <f t="shared" si="2"/>
        <v>22</v>
      </c>
      <c r="U61" s="101">
        <f t="shared" si="31"/>
        <v>18.18181818181818</v>
      </c>
      <c r="V61" s="100">
        <f t="shared" si="32"/>
        <v>2</v>
      </c>
      <c r="W61" s="98">
        <f t="shared" si="33"/>
        <v>0.78</v>
      </c>
      <c r="X61" s="101">
        <f t="shared" si="34"/>
        <v>0.21999999999999997</v>
      </c>
      <c r="Y61" s="100">
        <f t="shared" si="35"/>
        <v>10.43161094224924</v>
      </c>
      <c r="Z61" s="98">
        <f t="shared" si="28"/>
        <v>23.397623652942798</v>
      </c>
      <c r="AA61" s="98">
        <f t="shared" si="29"/>
        <v>18.429506811114035</v>
      </c>
      <c r="AB61" s="98">
        <v>0</v>
      </c>
      <c r="AC61" s="98">
        <f t="shared" si="36"/>
        <v>0.37700786064399749</v>
      </c>
      <c r="AD61" s="101">
        <f t="shared" si="19"/>
        <v>0.37700786064399749</v>
      </c>
      <c r="AE61" s="100">
        <f t="shared" si="27"/>
        <v>14.181818181818182</v>
      </c>
      <c r="AF61" s="98">
        <f t="shared" si="20"/>
        <v>16.276499704011947</v>
      </c>
      <c r="AG61" s="98">
        <f t="shared" si="37"/>
        <v>1.2451448802890948</v>
      </c>
      <c r="AH61" s="98">
        <f t="shared" si="38"/>
        <v>8.8248402220186453</v>
      </c>
      <c r="AI61" s="101">
        <f t="shared" si="21"/>
        <v>10.06998510230774</v>
      </c>
      <c r="AJ61" s="100">
        <f t="shared" si="22"/>
        <v>3.9999999999999991</v>
      </c>
      <c r="AK61" s="98">
        <f t="shared" si="39"/>
        <v>8.6442049192622505</v>
      </c>
      <c r="AL61" s="98">
        <f t="shared" si="40"/>
        <v>6.12</v>
      </c>
      <c r="AM61" s="98">
        <f t="shared" si="41"/>
        <v>0.35594999999999999</v>
      </c>
      <c r="AN61" s="101">
        <f t="shared" si="23"/>
        <v>6.4759500000000001</v>
      </c>
      <c r="AO61" s="100">
        <f t="shared" si="42"/>
        <v>0.34440177539911127</v>
      </c>
      <c r="AP61" s="98">
        <f t="shared" si="43"/>
        <v>0.13702500000000001</v>
      </c>
      <c r="AQ61" s="101">
        <f t="shared" si="44"/>
        <v>9.8999999999999991E-3</v>
      </c>
      <c r="AR61" s="100">
        <f t="shared" si="24"/>
        <v>17.414269738350846</v>
      </c>
      <c r="AS61" s="98">
        <f t="shared" si="25"/>
        <v>360</v>
      </c>
      <c r="AT61" s="101">
        <f t="shared" si="26"/>
        <v>95.385900551554755</v>
      </c>
    </row>
    <row r="62" spans="17:46" x14ac:dyDescent="0.25">
      <c r="Q62" s="32">
        <v>55</v>
      </c>
      <c r="R62" s="100">
        <f t="shared" si="0"/>
        <v>100</v>
      </c>
      <c r="S62" s="98">
        <f t="shared" si="30"/>
        <v>3.6666666666666665</v>
      </c>
      <c r="T62" s="98">
        <f t="shared" si="2"/>
        <v>22</v>
      </c>
      <c r="U62" s="101">
        <f t="shared" si="31"/>
        <v>18.518518518518515</v>
      </c>
      <c r="V62" s="100">
        <f t="shared" si="32"/>
        <v>2</v>
      </c>
      <c r="W62" s="98">
        <f t="shared" si="33"/>
        <v>0.78</v>
      </c>
      <c r="X62" s="101">
        <f t="shared" si="34"/>
        <v>0.21999999999999997</v>
      </c>
      <c r="Y62" s="100">
        <f t="shared" si="35"/>
        <v>10.43161094224924</v>
      </c>
      <c r="Z62" s="98">
        <f t="shared" si="28"/>
        <v>23.734323989643137</v>
      </c>
      <c r="AA62" s="98">
        <f t="shared" si="29"/>
        <v>18.761762631078074</v>
      </c>
      <c r="AB62" s="98">
        <v>0</v>
      </c>
      <c r="AC62" s="98">
        <f t="shared" si="36"/>
        <v>0.39072414809765865</v>
      </c>
      <c r="AD62" s="101">
        <f t="shared" si="19"/>
        <v>0.39072414809765865</v>
      </c>
      <c r="AE62" s="100">
        <f t="shared" si="27"/>
        <v>14.444444444444443</v>
      </c>
      <c r="AF62" s="98">
        <f t="shared" si="20"/>
        <v>16.569940098848754</v>
      </c>
      <c r="AG62" s="98">
        <f t="shared" si="37"/>
        <v>1.2904456999333487</v>
      </c>
      <c r="AH62" s="98">
        <f t="shared" si="38"/>
        <v>8.9882631890930647</v>
      </c>
      <c r="AI62" s="101">
        <f t="shared" si="21"/>
        <v>10.278708889026413</v>
      </c>
      <c r="AJ62" s="100">
        <f t="shared" si="22"/>
        <v>4.0740740740740726</v>
      </c>
      <c r="AK62" s="98">
        <f t="shared" si="39"/>
        <v>8.8000467126874895</v>
      </c>
      <c r="AL62" s="98">
        <f t="shared" si="40"/>
        <v>6.2333333333333325</v>
      </c>
      <c r="AM62" s="98">
        <f t="shared" si="41"/>
        <v>0.35594999999999999</v>
      </c>
      <c r="AN62" s="101">
        <f t="shared" si="23"/>
        <v>6.5892833333333325</v>
      </c>
      <c r="AO62" s="100">
        <f t="shared" si="42"/>
        <v>0.35693178934326664</v>
      </c>
      <c r="AP62" s="98">
        <f t="shared" si="43"/>
        <v>0.13702500000000001</v>
      </c>
      <c r="AQ62" s="101">
        <f t="shared" si="44"/>
        <v>9.8999999999999991E-3</v>
      </c>
      <c r="AR62" s="100">
        <f t="shared" si="24"/>
        <v>17.76257315980067</v>
      </c>
      <c r="AS62" s="98">
        <f t="shared" si="25"/>
        <v>366.66666666666663</v>
      </c>
      <c r="AT62" s="101">
        <f t="shared" si="26"/>
        <v>95.379494762724406</v>
      </c>
    </row>
    <row r="63" spans="17:46" x14ac:dyDescent="0.25">
      <c r="Q63" s="32">
        <v>56</v>
      </c>
      <c r="R63" s="100">
        <f t="shared" si="0"/>
        <v>100</v>
      </c>
      <c r="S63" s="98">
        <f t="shared" si="30"/>
        <v>3.7333333333333334</v>
      </c>
      <c r="T63" s="98">
        <f t="shared" si="2"/>
        <v>22</v>
      </c>
      <c r="U63" s="101">
        <f t="shared" si="31"/>
        <v>18.855218855218855</v>
      </c>
      <c r="V63" s="100">
        <f t="shared" si="32"/>
        <v>2</v>
      </c>
      <c r="W63" s="98">
        <f t="shared" si="33"/>
        <v>0.78</v>
      </c>
      <c r="X63" s="101">
        <f t="shared" si="34"/>
        <v>0.21999999999999997</v>
      </c>
      <c r="Y63" s="100">
        <f t="shared" si="35"/>
        <v>10.43161094224924</v>
      </c>
      <c r="Z63" s="98">
        <f t="shared" si="28"/>
        <v>24.071024326343476</v>
      </c>
      <c r="AA63" s="98">
        <f t="shared" si="29"/>
        <v>19.094174163404006</v>
      </c>
      <c r="AB63" s="98">
        <v>0</v>
      </c>
      <c r="AC63" s="98">
        <f t="shared" si="36"/>
        <v>0.40469211055046961</v>
      </c>
      <c r="AD63" s="101">
        <f t="shared" si="19"/>
        <v>0.40469211055046961</v>
      </c>
      <c r="AE63" s="100">
        <f t="shared" si="27"/>
        <v>14.707070707070708</v>
      </c>
      <c r="AF63" s="98">
        <f t="shared" si="20"/>
        <v>16.863518015119979</v>
      </c>
      <c r="AG63" s="98">
        <f t="shared" si="37"/>
        <v>1.3365777272774977</v>
      </c>
      <c r="AH63" s="98">
        <f t="shared" si="38"/>
        <v>9.151686156167484</v>
      </c>
      <c r="AI63" s="101">
        <f t="shared" si="21"/>
        <v>10.488263883444981</v>
      </c>
      <c r="AJ63" s="100">
        <f t="shared" si="22"/>
        <v>4.1481481481481479</v>
      </c>
      <c r="AK63" s="98">
        <f t="shared" si="39"/>
        <v>8.955961541684351</v>
      </c>
      <c r="AL63" s="98">
        <f t="shared" si="40"/>
        <v>6.3466666666666667</v>
      </c>
      <c r="AM63" s="98">
        <f t="shared" si="41"/>
        <v>0.35594999999999999</v>
      </c>
      <c r="AN63" s="101">
        <f t="shared" si="23"/>
        <v>6.7026166666666667</v>
      </c>
      <c r="AO63" s="100">
        <f t="shared" si="42"/>
        <v>0.36969171180015886</v>
      </c>
      <c r="AP63" s="98">
        <f t="shared" si="43"/>
        <v>0.13702500000000001</v>
      </c>
      <c r="AQ63" s="101">
        <f t="shared" si="44"/>
        <v>9.8999999999999991E-3</v>
      </c>
      <c r="AR63" s="100">
        <f t="shared" si="24"/>
        <v>18.112189372462279</v>
      </c>
      <c r="AS63" s="98">
        <f t="shared" si="25"/>
        <v>373.33333333333331</v>
      </c>
      <c r="AT63" s="101">
        <f t="shared" si="26"/>
        <v>95.37299871326536</v>
      </c>
    </row>
    <row r="64" spans="17:46" x14ac:dyDescent="0.25">
      <c r="Q64" s="32">
        <v>57</v>
      </c>
      <c r="R64" s="100">
        <f t="shared" si="0"/>
        <v>100</v>
      </c>
      <c r="S64" s="98">
        <f t="shared" si="30"/>
        <v>3.8</v>
      </c>
      <c r="T64" s="98">
        <f t="shared" si="2"/>
        <v>22</v>
      </c>
      <c r="U64" s="101">
        <f t="shared" si="31"/>
        <v>19.19191919191919</v>
      </c>
      <c r="V64" s="100">
        <f t="shared" si="32"/>
        <v>2</v>
      </c>
      <c r="W64" s="98">
        <f t="shared" si="33"/>
        <v>0.78</v>
      </c>
      <c r="X64" s="101">
        <f t="shared" si="34"/>
        <v>0.21999999999999997</v>
      </c>
      <c r="Y64" s="100">
        <f t="shared" si="35"/>
        <v>10.43161094224924</v>
      </c>
      <c r="Z64" s="98">
        <f t="shared" si="28"/>
        <v>24.407724663043808</v>
      </c>
      <c r="AA64" s="98">
        <f t="shared" si="29"/>
        <v>19.426733414894041</v>
      </c>
      <c r="AB64" s="98">
        <v>0</v>
      </c>
      <c r="AC64" s="98">
        <f t="shared" si="36"/>
        <v>0.41891174800243042</v>
      </c>
      <c r="AD64" s="101">
        <f t="shared" si="19"/>
        <v>0.41891174800243042</v>
      </c>
      <c r="AE64" s="100">
        <f t="shared" si="27"/>
        <v>14.969696969696969</v>
      </c>
      <c r="AF64" s="98">
        <f t="shared" si="20"/>
        <v>17.157226393424473</v>
      </c>
      <c r="AG64" s="98">
        <f t="shared" si="37"/>
        <v>1.3835409623215402</v>
      </c>
      <c r="AH64" s="98">
        <f t="shared" si="38"/>
        <v>9.3151091232419052</v>
      </c>
      <c r="AI64" s="101">
        <f t="shared" si="21"/>
        <v>10.698650085563445</v>
      </c>
      <c r="AJ64" s="100">
        <f t="shared" si="22"/>
        <v>4.2222222222222214</v>
      </c>
      <c r="AK64" s="98">
        <f t="shared" si="39"/>
        <v>9.1119456571107431</v>
      </c>
      <c r="AL64" s="98">
        <f t="shared" si="40"/>
        <v>6.46</v>
      </c>
      <c r="AM64" s="98">
        <f t="shared" si="41"/>
        <v>0.35594999999999999</v>
      </c>
      <c r="AN64" s="101">
        <f t="shared" si="23"/>
        <v>6.81595</v>
      </c>
      <c r="AO64" s="100">
        <f t="shared" si="42"/>
        <v>0.38268154276978772</v>
      </c>
      <c r="AP64" s="98">
        <f t="shared" si="43"/>
        <v>0.13702500000000001</v>
      </c>
      <c r="AQ64" s="101">
        <f t="shared" si="44"/>
        <v>9.8999999999999991E-3</v>
      </c>
      <c r="AR64" s="100">
        <f t="shared" si="24"/>
        <v>18.463118376335661</v>
      </c>
      <c r="AS64" s="98">
        <f t="shared" si="25"/>
        <v>380</v>
      </c>
      <c r="AT64" s="101">
        <f t="shared" si="26"/>
        <v>95.366417235409514</v>
      </c>
    </row>
    <row r="65" spans="17:46" x14ac:dyDescent="0.25">
      <c r="Q65" s="32">
        <v>58</v>
      </c>
      <c r="R65" s="100">
        <f t="shared" si="0"/>
        <v>100</v>
      </c>
      <c r="S65" s="98">
        <f t="shared" si="30"/>
        <v>3.8666666666666667</v>
      </c>
      <c r="T65" s="98">
        <f t="shared" si="2"/>
        <v>22</v>
      </c>
      <c r="U65" s="101">
        <f t="shared" si="31"/>
        <v>19.528619528619529</v>
      </c>
      <c r="V65" s="100">
        <f t="shared" si="32"/>
        <v>2</v>
      </c>
      <c r="W65" s="98">
        <f t="shared" si="33"/>
        <v>0.78</v>
      </c>
      <c r="X65" s="101">
        <f t="shared" si="34"/>
        <v>0.21999999999999997</v>
      </c>
      <c r="Y65" s="100">
        <f t="shared" si="35"/>
        <v>10.43161094224924</v>
      </c>
      <c r="Z65" s="98">
        <f t="shared" si="28"/>
        <v>24.744424999744147</v>
      </c>
      <c r="AA65" s="98">
        <f t="shared" si="29"/>
        <v>19.759432927029675</v>
      </c>
      <c r="AB65" s="98">
        <v>0</v>
      </c>
      <c r="AC65" s="98">
        <f t="shared" si="36"/>
        <v>0.4333830604535408</v>
      </c>
      <c r="AD65" s="101">
        <f t="shared" si="19"/>
        <v>0.4333830604535408</v>
      </c>
      <c r="AE65" s="100">
        <f t="shared" si="27"/>
        <v>15.232323232323234</v>
      </c>
      <c r="AF65" s="98">
        <f t="shared" si="20"/>
        <v>17.45105864657706</v>
      </c>
      <c r="AG65" s="98">
        <f t="shared" si="37"/>
        <v>1.4313354050654783</v>
      </c>
      <c r="AH65" s="98">
        <f t="shared" si="38"/>
        <v>9.4785320903163246</v>
      </c>
      <c r="AI65" s="101">
        <f t="shared" si="21"/>
        <v>10.909867495381803</v>
      </c>
      <c r="AJ65" s="100">
        <f t="shared" si="22"/>
        <v>4.2962962962962958</v>
      </c>
      <c r="AK65" s="98">
        <f t="shared" si="39"/>
        <v>9.2679955606113982</v>
      </c>
      <c r="AL65" s="98">
        <f t="shared" si="40"/>
        <v>6.5733333333333333</v>
      </c>
      <c r="AM65" s="98">
        <f t="shared" si="41"/>
        <v>0.35594999999999999</v>
      </c>
      <c r="AN65" s="101">
        <f t="shared" si="23"/>
        <v>6.9292833333333332</v>
      </c>
      <c r="AO65" s="100">
        <f t="shared" si="42"/>
        <v>0.39590128225215349</v>
      </c>
      <c r="AP65" s="98">
        <f t="shared" si="43"/>
        <v>0.13702500000000001</v>
      </c>
      <c r="AQ65" s="101">
        <f t="shared" si="44"/>
        <v>9.8999999999999991E-3</v>
      </c>
      <c r="AR65" s="100">
        <f t="shared" si="24"/>
        <v>18.815360171420828</v>
      </c>
      <c r="AS65" s="98">
        <f t="shared" si="25"/>
        <v>386.66666666666669</v>
      </c>
      <c r="AT65" s="101">
        <f t="shared" si="26"/>
        <v>95.359754828557669</v>
      </c>
    </row>
    <row r="66" spans="17:46" x14ac:dyDescent="0.25">
      <c r="Q66" s="32">
        <v>59</v>
      </c>
      <c r="R66" s="100">
        <f t="shared" si="0"/>
        <v>100</v>
      </c>
      <c r="S66" s="98">
        <f t="shared" si="30"/>
        <v>3.9333333333333331</v>
      </c>
      <c r="T66" s="98">
        <f t="shared" si="2"/>
        <v>22</v>
      </c>
      <c r="U66" s="101">
        <f t="shared" si="31"/>
        <v>19.865319865319865</v>
      </c>
      <c r="V66" s="100">
        <f t="shared" si="32"/>
        <v>2</v>
      </c>
      <c r="W66" s="98">
        <f t="shared" si="33"/>
        <v>0.78</v>
      </c>
      <c r="X66" s="101">
        <f t="shared" si="34"/>
        <v>0.21999999999999997</v>
      </c>
      <c r="Y66" s="100">
        <f t="shared" si="35"/>
        <v>10.43161094224924</v>
      </c>
      <c r="Z66" s="98">
        <f t="shared" si="28"/>
        <v>25.081125336444487</v>
      </c>
      <c r="AA66" s="98">
        <f t="shared" si="29"/>
        <v>20.092265732258184</v>
      </c>
      <c r="AB66" s="98">
        <v>0</v>
      </c>
      <c r="AC66" s="98">
        <f t="shared" si="36"/>
        <v>0.44810604790380099</v>
      </c>
      <c r="AD66" s="101">
        <f t="shared" si="19"/>
        <v>0.44810604790380099</v>
      </c>
      <c r="AE66" s="100">
        <f t="shared" si="27"/>
        <v>15.494949494949495</v>
      </c>
      <c r="AF66" s="98">
        <f t="shared" si="20"/>
        <v>17.745008621001791</v>
      </c>
      <c r="AG66" s="98">
        <f t="shared" si="37"/>
        <v>1.4799610555093112</v>
      </c>
      <c r="AH66" s="98">
        <f t="shared" si="38"/>
        <v>9.641955057390744</v>
      </c>
      <c r="AI66" s="101">
        <f t="shared" si="21"/>
        <v>11.121916112900056</v>
      </c>
      <c r="AJ66" s="100">
        <f t="shared" si="22"/>
        <v>4.3703703703703694</v>
      </c>
      <c r="AK66" s="98">
        <f t="shared" si="39"/>
        <v>9.4241079841144035</v>
      </c>
      <c r="AL66" s="98">
        <f t="shared" si="40"/>
        <v>6.6866666666666665</v>
      </c>
      <c r="AM66" s="98">
        <f t="shared" si="41"/>
        <v>0.35594999999999999</v>
      </c>
      <c r="AN66" s="101">
        <f t="shared" si="23"/>
        <v>7.0426166666666665</v>
      </c>
      <c r="AO66" s="100">
        <f t="shared" si="42"/>
        <v>0.40935093024725627</v>
      </c>
      <c r="AP66" s="98">
        <f t="shared" si="43"/>
        <v>0.13702500000000001</v>
      </c>
      <c r="AQ66" s="101">
        <f t="shared" si="44"/>
        <v>9.8999999999999991E-3</v>
      </c>
      <c r="AR66" s="100">
        <f t="shared" si="24"/>
        <v>19.168914757717776</v>
      </c>
      <c r="AS66" s="98">
        <f t="shared" si="25"/>
        <v>393.33333333333331</v>
      </c>
      <c r="AT66" s="101">
        <f t="shared" si="26"/>
        <v>95.353015687447439</v>
      </c>
    </row>
    <row r="67" spans="17:46" x14ac:dyDescent="0.25">
      <c r="Q67" s="32">
        <v>60</v>
      </c>
      <c r="R67" s="100">
        <f t="shared" si="0"/>
        <v>100</v>
      </c>
      <c r="S67" s="98">
        <f t="shared" si="30"/>
        <v>4</v>
      </c>
      <c r="T67" s="98">
        <f t="shared" si="2"/>
        <v>22</v>
      </c>
      <c r="U67" s="101">
        <f t="shared" si="31"/>
        <v>20.202020202020201</v>
      </c>
      <c r="V67" s="100">
        <f t="shared" si="32"/>
        <v>2</v>
      </c>
      <c r="W67" s="98">
        <f t="shared" si="33"/>
        <v>0.78</v>
      </c>
      <c r="X67" s="101">
        <f t="shared" si="34"/>
        <v>0.21999999999999997</v>
      </c>
      <c r="Y67" s="100">
        <f t="shared" si="35"/>
        <v>10.43161094224924</v>
      </c>
      <c r="Z67" s="98">
        <f t="shared" si="28"/>
        <v>25.417825673144819</v>
      </c>
      <c r="AA67" s="98">
        <f t="shared" si="29"/>
        <v>20.425225314474179</v>
      </c>
      <c r="AB67" s="98">
        <v>0</v>
      </c>
      <c r="AC67" s="98">
        <f t="shared" si="36"/>
        <v>0.46308071035321091</v>
      </c>
      <c r="AD67" s="101">
        <f t="shared" si="19"/>
        <v>0.46308071035321091</v>
      </c>
      <c r="AE67" s="100">
        <f t="shared" si="27"/>
        <v>15.757575757575758</v>
      </c>
      <c r="AF67" s="98">
        <f t="shared" si="20"/>
        <v>18.039070561830194</v>
      </c>
      <c r="AG67" s="98">
        <f t="shared" si="37"/>
        <v>1.529417913653037</v>
      </c>
      <c r="AH67" s="98">
        <f t="shared" si="38"/>
        <v>9.8053780244651634</v>
      </c>
      <c r="AI67" s="101">
        <f t="shared" si="21"/>
        <v>11.3347959381182</v>
      </c>
      <c r="AJ67" s="100">
        <f t="shared" si="22"/>
        <v>4.4444444444444438</v>
      </c>
      <c r="AK67" s="98">
        <f t="shared" si="39"/>
        <v>9.5802798712954136</v>
      </c>
      <c r="AL67" s="98">
        <f t="shared" si="40"/>
        <v>6.8</v>
      </c>
      <c r="AM67" s="98">
        <f t="shared" si="41"/>
        <v>0.35594999999999999</v>
      </c>
      <c r="AN67" s="101">
        <f t="shared" si="23"/>
        <v>7.1559499999999998</v>
      </c>
      <c r="AO67" s="100">
        <f t="shared" si="42"/>
        <v>0.4230304867550953</v>
      </c>
      <c r="AP67" s="98">
        <f t="shared" si="43"/>
        <v>0.13702500000000001</v>
      </c>
      <c r="AQ67" s="101">
        <f t="shared" si="44"/>
        <v>9.8999999999999991E-3</v>
      </c>
      <c r="AR67" s="100">
        <f t="shared" si="24"/>
        <v>19.523782135226504</v>
      </c>
      <c r="AS67" s="98">
        <f t="shared" si="25"/>
        <v>400</v>
      </c>
      <c r="AT67" s="101">
        <f t="shared" si="26"/>
        <v>95.346203727508026</v>
      </c>
    </row>
    <row r="68" spans="17:46" x14ac:dyDescent="0.25">
      <c r="Q68" s="32">
        <v>61</v>
      </c>
      <c r="R68" s="100">
        <f t="shared" si="0"/>
        <v>100</v>
      </c>
      <c r="S68" s="98">
        <f t="shared" si="30"/>
        <v>4.0666666666666664</v>
      </c>
      <c r="T68" s="98">
        <f t="shared" si="2"/>
        <v>22</v>
      </c>
      <c r="U68" s="101">
        <f t="shared" si="31"/>
        <v>20.538720538720536</v>
      </c>
      <c r="V68" s="100">
        <f t="shared" si="32"/>
        <v>2</v>
      </c>
      <c r="W68" s="98">
        <f t="shared" si="33"/>
        <v>0.78</v>
      </c>
      <c r="X68" s="101">
        <f t="shared" si="34"/>
        <v>0.21999999999999997</v>
      </c>
      <c r="Y68" s="100">
        <f t="shared" si="35"/>
        <v>10.43161094224924</v>
      </c>
      <c r="Z68" s="98">
        <f t="shared" si="28"/>
        <v>25.754526009845158</v>
      </c>
      <c r="AA68" s="98">
        <f t="shared" si="29"/>
        <v>20.758305573236591</v>
      </c>
      <c r="AB68" s="98">
        <v>0</v>
      </c>
      <c r="AC68" s="98">
        <f t="shared" si="36"/>
        <v>0.47830704780177052</v>
      </c>
      <c r="AD68" s="101">
        <f t="shared" si="19"/>
        <v>0.47830704780177052</v>
      </c>
      <c r="AE68" s="100">
        <f t="shared" si="27"/>
        <v>16.020202020202017</v>
      </c>
      <c r="AF68" s="98">
        <f t="shared" si="20"/>
        <v>18.333239081298622</v>
      </c>
      <c r="AG68" s="98">
        <f t="shared" si="37"/>
        <v>1.5797059794966593</v>
      </c>
      <c r="AH68" s="98">
        <f t="shared" si="38"/>
        <v>9.968800991539581</v>
      </c>
      <c r="AI68" s="101">
        <f t="shared" si="21"/>
        <v>11.54850697103624</v>
      </c>
      <c r="AJ68" s="100">
        <f t="shared" si="22"/>
        <v>4.5185185185185173</v>
      </c>
      <c r="AK68" s="98">
        <f t="shared" si="39"/>
        <v>9.7365083607939447</v>
      </c>
      <c r="AL68" s="98">
        <f t="shared" si="40"/>
        <v>6.9133333333333331</v>
      </c>
      <c r="AM68" s="98">
        <f t="shared" si="41"/>
        <v>0.35594999999999999</v>
      </c>
      <c r="AN68" s="101">
        <f t="shared" si="23"/>
        <v>7.2692833333333331</v>
      </c>
      <c r="AO68" s="100">
        <f t="shared" si="42"/>
        <v>0.43693995177567163</v>
      </c>
      <c r="AP68" s="98">
        <f t="shared" si="43"/>
        <v>0.13702500000000001</v>
      </c>
      <c r="AQ68" s="101">
        <f t="shared" si="44"/>
        <v>9.8999999999999991E-3</v>
      </c>
      <c r="AR68" s="100">
        <f t="shared" si="24"/>
        <v>19.879962303947014</v>
      </c>
      <c r="AS68" s="98">
        <f t="shared" si="25"/>
        <v>406.66666666666663</v>
      </c>
      <c r="AT68" s="101">
        <f t="shared" si="26"/>
        <v>95.339322607724412</v>
      </c>
    </row>
    <row r="69" spans="17:46" x14ac:dyDescent="0.25">
      <c r="Q69" s="32">
        <v>62</v>
      </c>
      <c r="R69" s="100">
        <f t="shared" si="0"/>
        <v>100</v>
      </c>
      <c r="S69" s="98">
        <f t="shared" si="30"/>
        <v>4.1333333333333329</v>
      </c>
      <c r="T69" s="98">
        <f t="shared" si="2"/>
        <v>22</v>
      </c>
      <c r="U69" s="101">
        <f t="shared" si="31"/>
        <v>20.875420875420872</v>
      </c>
      <c r="V69" s="100">
        <f t="shared" si="32"/>
        <v>2</v>
      </c>
      <c r="W69" s="98">
        <f t="shared" si="33"/>
        <v>0.78</v>
      </c>
      <c r="X69" s="101">
        <f t="shared" si="34"/>
        <v>0.21999999999999997</v>
      </c>
      <c r="Y69" s="100">
        <f t="shared" si="35"/>
        <v>10.43161094224924</v>
      </c>
      <c r="Z69" s="98">
        <f t="shared" si="28"/>
        <v>26.09122634654549</v>
      </c>
      <c r="AA69" s="98">
        <f t="shared" si="29"/>
        <v>21.091500791317863</v>
      </c>
      <c r="AB69" s="98">
        <v>0</v>
      </c>
      <c r="AC69" s="98">
        <f t="shared" si="36"/>
        <v>0.49378506024947993</v>
      </c>
      <c r="AD69" s="101">
        <f t="shared" si="19"/>
        <v>0.49378506024947993</v>
      </c>
      <c r="AE69" s="100">
        <f t="shared" si="27"/>
        <v>16.28282828282828</v>
      </c>
      <c r="AF69" s="98">
        <f t="shared" si="20"/>
        <v>18.627509130088388</v>
      </c>
      <c r="AG69" s="98">
        <f t="shared" si="37"/>
        <v>1.6308252530401735</v>
      </c>
      <c r="AH69" s="98">
        <f t="shared" si="38"/>
        <v>10.132223958614</v>
      </c>
      <c r="AI69" s="101">
        <f t="shared" si="21"/>
        <v>11.763049211654174</v>
      </c>
      <c r="AJ69" s="100">
        <f t="shared" si="22"/>
        <v>4.5925925925925917</v>
      </c>
      <c r="AK69" s="98">
        <f t="shared" si="39"/>
        <v>9.892790770992562</v>
      </c>
      <c r="AL69" s="98">
        <f t="shared" si="40"/>
        <v>7.0266666666666655</v>
      </c>
      <c r="AM69" s="98">
        <f t="shared" si="41"/>
        <v>0.35594999999999999</v>
      </c>
      <c r="AN69" s="101">
        <f t="shared" si="23"/>
        <v>7.3826166666666655</v>
      </c>
      <c r="AO69" s="100">
        <f t="shared" si="42"/>
        <v>0.45107932530898409</v>
      </c>
      <c r="AP69" s="98">
        <f t="shared" si="43"/>
        <v>0.13702500000000001</v>
      </c>
      <c r="AQ69" s="101">
        <f t="shared" si="44"/>
        <v>9.8999999999999991E-3</v>
      </c>
      <c r="AR69" s="100">
        <f t="shared" si="24"/>
        <v>20.237455263879301</v>
      </c>
      <c r="AS69" s="98">
        <f t="shared" si="25"/>
        <v>413.33333333333326</v>
      </c>
      <c r="AT69" s="101">
        <f t="shared" si="26"/>
        <v>95.332375751291693</v>
      </c>
    </row>
    <row r="70" spans="17:46" x14ac:dyDescent="0.25">
      <c r="Q70" s="32">
        <v>63</v>
      </c>
      <c r="R70" s="100">
        <f t="shared" si="0"/>
        <v>100</v>
      </c>
      <c r="S70" s="98">
        <f t="shared" si="30"/>
        <v>4.2</v>
      </c>
      <c r="T70" s="98">
        <f t="shared" si="2"/>
        <v>22</v>
      </c>
      <c r="U70" s="101">
        <f t="shared" si="31"/>
        <v>21.212121212121211</v>
      </c>
      <c r="V70" s="100">
        <f t="shared" si="32"/>
        <v>2</v>
      </c>
      <c r="W70" s="98">
        <f t="shared" si="33"/>
        <v>0.78</v>
      </c>
      <c r="X70" s="101">
        <f t="shared" si="34"/>
        <v>0.21999999999999997</v>
      </c>
      <c r="Y70" s="100">
        <f t="shared" si="35"/>
        <v>10.43161094224924</v>
      </c>
      <c r="Z70" s="98">
        <f t="shared" si="28"/>
        <v>26.427926683245829</v>
      </c>
      <c r="AA70" s="98">
        <f t="shared" si="29"/>
        <v>21.424805605230752</v>
      </c>
      <c r="AB70" s="98">
        <v>0</v>
      </c>
      <c r="AC70" s="98">
        <f t="shared" si="36"/>
        <v>0.50951474769633909</v>
      </c>
      <c r="AD70" s="101">
        <f t="shared" si="19"/>
        <v>0.50951474769633909</v>
      </c>
      <c r="AE70" s="100">
        <f t="shared" si="27"/>
        <v>16.545454545454547</v>
      </c>
      <c r="AF70" s="98">
        <f t="shared" si="20"/>
        <v>18.921875971295847</v>
      </c>
      <c r="AG70" s="98">
        <f t="shared" si="37"/>
        <v>1.6827757342835847</v>
      </c>
      <c r="AH70" s="98">
        <f t="shared" si="38"/>
        <v>10.295646925688422</v>
      </c>
      <c r="AI70" s="101">
        <f t="shared" si="21"/>
        <v>11.978422659972006</v>
      </c>
      <c r="AJ70" s="100">
        <f t="shared" si="22"/>
        <v>4.6666666666666661</v>
      </c>
      <c r="AK70" s="98">
        <f t="shared" si="39"/>
        <v>10.049124586192766</v>
      </c>
      <c r="AL70" s="98">
        <f t="shared" si="40"/>
        <v>7.14</v>
      </c>
      <c r="AM70" s="98">
        <f t="shared" si="41"/>
        <v>0.35594999999999999</v>
      </c>
      <c r="AN70" s="101">
        <f t="shared" si="23"/>
        <v>7.4959499999999997</v>
      </c>
      <c r="AO70" s="100">
        <f t="shared" si="42"/>
        <v>0.46544860735503407</v>
      </c>
      <c r="AP70" s="98">
        <f t="shared" si="43"/>
        <v>0.13702500000000001</v>
      </c>
      <c r="AQ70" s="101">
        <f t="shared" si="44"/>
        <v>9.8999999999999991E-3</v>
      </c>
      <c r="AR70" s="100">
        <f t="shared" si="24"/>
        <v>20.59626101502338</v>
      </c>
      <c r="AS70" s="98">
        <f t="shared" si="25"/>
        <v>420</v>
      </c>
      <c r="AT70" s="101">
        <f t="shared" si="26"/>
        <v>95.32536636430487</v>
      </c>
    </row>
    <row r="71" spans="17:46" x14ac:dyDescent="0.25">
      <c r="Q71" s="32">
        <v>64</v>
      </c>
      <c r="R71" s="100">
        <f t="shared" ref="R71:R134" si="45">VOUT</f>
        <v>100</v>
      </c>
      <c r="S71" s="98">
        <f t="shared" ref="S71:S102" si="46">Q71*$O$12</f>
        <v>4.2666666666666666</v>
      </c>
      <c r="T71" s="98">
        <f t="shared" ref="T71:T134" si="47">VIN_var</f>
        <v>22</v>
      </c>
      <c r="U71" s="101">
        <f t="shared" ref="U71:U102" si="48">(R71*S71)/(T71*EFF_est)</f>
        <v>21.54882154882155</v>
      </c>
      <c r="V71" s="100">
        <f t="shared" ref="V71:V102" si="49">IF((S71*R71/T71)&lt;((T71*(1-(T71/R71)))/(2*Lm*Fsw)),1,2)</f>
        <v>2</v>
      </c>
      <c r="W71" s="98">
        <f t="shared" ref="W71:W102" si="50">CHOOSE(V71,SQRT((2*S71*Lm*Fsw*(R71-T71))/((T71)^2)),1-(T71/R71))</f>
        <v>0.78</v>
      </c>
      <c r="X71" s="101">
        <f t="shared" ref="X71:X102" si="51">CHOOSE(V71,(Lm*W71*Fsw)/(R71-T71),1-W71)</f>
        <v>0.21999999999999997</v>
      </c>
      <c r="Y71" s="100">
        <f t="shared" ref="Y71:Y102" si="52">(T71*W71)/(Lm*Fsw)</f>
        <v>10.43161094224924</v>
      </c>
      <c r="Z71" s="98">
        <f t="shared" si="28"/>
        <v>26.764627019946168</v>
      </c>
      <c r="AA71" s="98">
        <f t="shared" si="29"/>
        <v>21.758214978420462</v>
      </c>
      <c r="AB71" s="98">
        <v>0</v>
      </c>
      <c r="AC71" s="98">
        <f t="shared" ref="AC71:AC102" si="53">(AA71^2)*Rdcr</f>
        <v>0.52549611014234821</v>
      </c>
      <c r="AD71" s="101">
        <f t="shared" si="19"/>
        <v>0.52549611014234821</v>
      </c>
      <c r="AE71" s="100">
        <f t="shared" si="27"/>
        <v>16.80808080808081</v>
      </c>
      <c r="AF71" s="98">
        <f t="shared" si="20"/>
        <v>19.21633515675622</v>
      </c>
      <c r="AG71" s="98">
        <f t="shared" ref="AG71:AG102" si="54">(AF71^2)*RDS_on</f>
        <v>1.7355574232268898</v>
      </c>
      <c r="AH71" s="98">
        <f t="shared" ref="AH71:AH102" si="55">((R71*U71)/2)*Fsw*(tr_sw+tf_sw)</f>
        <v>10.459069892762843</v>
      </c>
      <c r="AI71" s="101">
        <f t="shared" si="21"/>
        <v>12.194627315989733</v>
      </c>
      <c r="AJ71" s="100">
        <f t="shared" si="22"/>
        <v>4.7407407407407405</v>
      </c>
      <c r="AK71" s="98">
        <f t="shared" ref="AK71:AK102" si="56">CHOOSE(V71,Z71*SQRT(X71/3),SQRT(X71*((Z71^2)+((Y71^2)/3)-(Y71*Z71))))</f>
        <v>10.205507444040952</v>
      </c>
      <c r="AL71" s="98">
        <f t="shared" ref="AL71:AL102" si="57">S71*Vd_rect</f>
        <v>7.253333333333333</v>
      </c>
      <c r="AM71" s="98">
        <f t="shared" ref="AM71:AM102" si="58">CHOOSE(V71,(R71+Vd_rect)*Qrr*Fsw,(R71+Vd_rect)*Qrr*Fsw)</f>
        <v>0.35594999999999999</v>
      </c>
      <c r="AN71" s="101">
        <f t="shared" si="23"/>
        <v>7.609283333333333</v>
      </c>
      <c r="AO71" s="100">
        <f t="shared" ref="AO71:AO102" si="59">(AF71^2)*R_cs</f>
        <v>0.48004779791382057</v>
      </c>
      <c r="AP71" s="98">
        <f t="shared" ref="AP71:AP102" si="60">Qg_tot*Vcc*Fsw</f>
        <v>0.13702500000000001</v>
      </c>
      <c r="AQ71" s="101">
        <f t="shared" ref="AQ71:AQ102" si="61">IQ*T71</f>
        <v>9.8999999999999991E-3</v>
      </c>
      <c r="AR71" s="100">
        <f t="shared" si="24"/>
        <v>20.956379557379233</v>
      </c>
      <c r="AS71" s="98">
        <f t="shared" si="25"/>
        <v>426.66666666666669</v>
      </c>
      <c r="AT71" s="101">
        <f t="shared" si="26"/>
        <v>95.318297452698602</v>
      </c>
    </row>
    <row r="72" spans="17:46" x14ac:dyDescent="0.25">
      <c r="Q72" s="32">
        <v>65</v>
      </c>
      <c r="R72" s="100">
        <f t="shared" si="45"/>
        <v>100</v>
      </c>
      <c r="S72" s="98">
        <f t="shared" si="46"/>
        <v>4.333333333333333</v>
      </c>
      <c r="T72" s="98">
        <f t="shared" si="47"/>
        <v>22</v>
      </c>
      <c r="U72" s="101">
        <f t="shared" si="48"/>
        <v>21.885521885521882</v>
      </c>
      <c r="V72" s="100">
        <f t="shared" si="49"/>
        <v>2</v>
      </c>
      <c r="W72" s="98">
        <f t="shared" si="50"/>
        <v>0.78</v>
      </c>
      <c r="X72" s="101">
        <f t="shared" si="51"/>
        <v>0.21999999999999997</v>
      </c>
      <c r="Y72" s="100">
        <f t="shared" si="52"/>
        <v>10.43161094224924</v>
      </c>
      <c r="Z72" s="98">
        <f t="shared" si="28"/>
        <v>27.1013273566465</v>
      </c>
      <c r="AA72" s="98">
        <f t="shared" si="29"/>
        <v>22.091724176846448</v>
      </c>
      <c r="AB72" s="98">
        <v>0</v>
      </c>
      <c r="AC72" s="98">
        <f t="shared" si="53"/>
        <v>0.54172914758750668</v>
      </c>
      <c r="AD72" s="101">
        <f t="shared" ref="AD72:AD135" si="62">AB72+AC72</f>
        <v>0.54172914758750668</v>
      </c>
      <c r="AE72" s="100">
        <f t="shared" si="27"/>
        <v>17.070707070707069</v>
      </c>
      <c r="AF72" s="98">
        <f t="shared" ref="AF72:AF135" si="63">CHOOSE(V72,Z72*SQRT(W72/3),SQRT(W72*((Z72^2)+((Y72^2)/3)-(Z72*Y72))))</f>
        <v>19.510882505478119</v>
      </c>
      <c r="AG72" s="98">
        <f t="shared" si="54"/>
        <v>1.789170319870089</v>
      </c>
      <c r="AH72" s="98">
        <f t="shared" si="55"/>
        <v>10.62249285983726</v>
      </c>
      <c r="AI72" s="101">
        <f t="shared" ref="AI72:AI135" si="64">AG72+AH72</f>
        <v>12.41166317970735</v>
      </c>
      <c r="AJ72" s="100">
        <f t="shared" ref="AJ72:AJ135" si="65">X72*U72</f>
        <v>4.8148148148148131</v>
      </c>
      <c r="AK72" s="98">
        <f t="shared" si="56"/>
        <v>10.361937124075284</v>
      </c>
      <c r="AL72" s="98">
        <f t="shared" si="57"/>
        <v>7.3666666666666663</v>
      </c>
      <c r="AM72" s="98">
        <f t="shared" si="58"/>
        <v>0.35594999999999999</v>
      </c>
      <c r="AN72" s="101">
        <f t="shared" ref="AN72:AN135" si="66">AL72+AM72</f>
        <v>7.7226166666666662</v>
      </c>
      <c r="AO72" s="100">
        <f t="shared" si="59"/>
        <v>0.49487689698534371</v>
      </c>
      <c r="AP72" s="98">
        <f t="shared" si="60"/>
        <v>0.13702500000000001</v>
      </c>
      <c r="AQ72" s="101">
        <f t="shared" si="61"/>
        <v>9.8999999999999991E-3</v>
      </c>
      <c r="AR72" s="100">
        <f t="shared" ref="AR72:AR135" si="67">AO72+AN72+AI72+AD72+AP72+AQ72</f>
        <v>21.317810890946866</v>
      </c>
      <c r="AS72" s="98">
        <f t="shared" ref="AS72:AS135" si="68">R72*S72</f>
        <v>433.33333333333331</v>
      </c>
      <c r="AT72" s="101">
        <f t="shared" ref="AT72:AT135" si="69">(AS72/(AS72+AR72))*100</f>
        <v>95.311171837625295</v>
      </c>
    </row>
    <row r="73" spans="17:46" x14ac:dyDescent="0.25">
      <c r="Q73" s="32">
        <v>66</v>
      </c>
      <c r="R73" s="100">
        <f t="shared" si="45"/>
        <v>100</v>
      </c>
      <c r="S73" s="98">
        <f t="shared" si="46"/>
        <v>4.4000000000000004</v>
      </c>
      <c r="T73" s="98">
        <f t="shared" si="47"/>
        <v>22</v>
      </c>
      <c r="U73" s="101">
        <f t="shared" si="48"/>
        <v>22.222222222222225</v>
      </c>
      <c r="V73" s="100">
        <f t="shared" si="49"/>
        <v>2</v>
      </c>
      <c r="W73" s="98">
        <f t="shared" si="50"/>
        <v>0.78</v>
      </c>
      <c r="X73" s="101">
        <f t="shared" si="51"/>
        <v>0.21999999999999997</v>
      </c>
      <c r="Y73" s="100">
        <f t="shared" si="52"/>
        <v>10.43161094224924</v>
      </c>
      <c r="Z73" s="98">
        <f t="shared" si="28"/>
        <v>27.438027693346847</v>
      </c>
      <c r="AA73" s="98">
        <f t="shared" si="29"/>
        <v>22.42532874671031</v>
      </c>
      <c r="AB73" s="98">
        <v>0</v>
      </c>
      <c r="AC73" s="98">
        <f t="shared" si="53"/>
        <v>0.55821386003181528</v>
      </c>
      <c r="AD73" s="101">
        <f t="shared" si="62"/>
        <v>0.55821386003181528</v>
      </c>
      <c r="AE73" s="100">
        <f t="shared" ref="AE73:AE136" si="70">U73*W73</f>
        <v>17.333333333333336</v>
      </c>
      <c r="AF73" s="98">
        <f t="shared" si="63"/>
        <v>19.805514083973303</v>
      </c>
      <c r="AG73" s="98">
        <f t="shared" si="54"/>
        <v>1.8436144242131851</v>
      </c>
      <c r="AH73" s="98">
        <f t="shared" si="55"/>
        <v>10.785915826911681</v>
      </c>
      <c r="AI73" s="101">
        <f t="shared" si="64"/>
        <v>12.629530251124866</v>
      </c>
      <c r="AJ73" s="100">
        <f t="shared" si="65"/>
        <v>4.8888888888888893</v>
      </c>
      <c r="AK73" s="98">
        <f t="shared" si="56"/>
        <v>10.518411537279144</v>
      </c>
      <c r="AL73" s="98">
        <f t="shared" si="57"/>
        <v>7.48</v>
      </c>
      <c r="AM73" s="98">
        <f t="shared" si="58"/>
        <v>0.35594999999999999</v>
      </c>
      <c r="AN73" s="101">
        <f t="shared" si="66"/>
        <v>7.8359500000000004</v>
      </c>
      <c r="AO73" s="100">
        <f t="shared" si="59"/>
        <v>0.50993590456960436</v>
      </c>
      <c r="AP73" s="98">
        <f t="shared" si="60"/>
        <v>0.13702500000000001</v>
      </c>
      <c r="AQ73" s="101">
        <f t="shared" si="61"/>
        <v>9.8999999999999991E-3</v>
      </c>
      <c r="AR73" s="100">
        <f t="shared" si="67"/>
        <v>21.680555015726284</v>
      </c>
      <c r="AS73" s="98">
        <f t="shared" si="68"/>
        <v>440.00000000000006</v>
      </c>
      <c r="AT73" s="101">
        <f t="shared" si="69"/>
        <v>95.303992169436768</v>
      </c>
    </row>
    <row r="74" spans="17:46" x14ac:dyDescent="0.25">
      <c r="Q74" s="32">
        <v>67</v>
      </c>
      <c r="R74" s="100">
        <f t="shared" si="45"/>
        <v>100</v>
      </c>
      <c r="S74" s="98">
        <f t="shared" si="46"/>
        <v>4.4666666666666668</v>
      </c>
      <c r="T74" s="98">
        <f t="shared" si="47"/>
        <v>22</v>
      </c>
      <c r="U74" s="101">
        <f t="shared" si="48"/>
        <v>22.558922558922561</v>
      </c>
      <c r="V74" s="100">
        <f t="shared" si="49"/>
        <v>2</v>
      </c>
      <c r="W74" s="98">
        <f t="shared" si="50"/>
        <v>0.78</v>
      </c>
      <c r="X74" s="101">
        <f t="shared" si="51"/>
        <v>0.21999999999999997</v>
      </c>
      <c r="Y74" s="100">
        <f t="shared" si="52"/>
        <v>10.43161094224924</v>
      </c>
      <c r="Z74" s="98">
        <f t="shared" si="28"/>
        <v>27.774728030047179</v>
      </c>
      <c r="AA74" s="98">
        <f t="shared" si="29"/>
        <v>22.759024494113749</v>
      </c>
      <c r="AB74" s="98">
        <v>0</v>
      </c>
      <c r="AC74" s="98">
        <f t="shared" si="53"/>
        <v>0.57495024747527324</v>
      </c>
      <c r="AD74" s="101">
        <f t="shared" si="62"/>
        <v>0.57495024747527324</v>
      </c>
      <c r="AE74" s="100">
        <f t="shared" si="70"/>
        <v>17.595959595959599</v>
      </c>
      <c r="AF74" s="98">
        <f t="shared" si="63"/>
        <v>20.100226188291074</v>
      </c>
      <c r="AG74" s="98">
        <f t="shared" si="54"/>
        <v>1.898889736256173</v>
      </c>
      <c r="AH74" s="98">
        <f t="shared" si="55"/>
        <v>10.949338793986099</v>
      </c>
      <c r="AI74" s="101">
        <f t="shared" si="64"/>
        <v>12.848228530242272</v>
      </c>
      <c r="AJ74" s="100">
        <f t="shared" si="65"/>
        <v>4.9629629629629628</v>
      </c>
      <c r="AK74" s="98">
        <f t="shared" si="56"/>
        <v>10.674928716539858</v>
      </c>
      <c r="AL74" s="98">
        <f t="shared" si="57"/>
        <v>7.5933333333333337</v>
      </c>
      <c r="AM74" s="98">
        <f t="shared" si="58"/>
        <v>0.35594999999999999</v>
      </c>
      <c r="AN74" s="101">
        <f t="shared" si="66"/>
        <v>7.9492833333333337</v>
      </c>
      <c r="AO74" s="100">
        <f t="shared" si="59"/>
        <v>0.52522482066660103</v>
      </c>
      <c r="AP74" s="98">
        <f t="shared" si="60"/>
        <v>0.13702500000000001</v>
      </c>
      <c r="AQ74" s="101">
        <f t="shared" si="61"/>
        <v>9.8999999999999991E-3</v>
      </c>
      <c r="AR74" s="100">
        <f t="shared" si="67"/>
        <v>22.04461193171748</v>
      </c>
      <c r="AS74" s="98">
        <f t="shared" si="68"/>
        <v>446.66666666666669</v>
      </c>
      <c r="AT74" s="101">
        <f t="shared" si="69"/>
        <v>95.296760940415425</v>
      </c>
    </row>
    <row r="75" spans="17:46" x14ac:dyDescent="0.25">
      <c r="Q75" s="32">
        <v>68</v>
      </c>
      <c r="R75" s="100">
        <f t="shared" si="45"/>
        <v>100</v>
      </c>
      <c r="S75" s="98">
        <f t="shared" si="46"/>
        <v>4.5333333333333332</v>
      </c>
      <c r="T75" s="98">
        <f t="shared" si="47"/>
        <v>22</v>
      </c>
      <c r="U75" s="101">
        <f t="shared" si="48"/>
        <v>22.895622895622893</v>
      </c>
      <c r="V75" s="100">
        <f t="shared" si="49"/>
        <v>2</v>
      </c>
      <c r="W75" s="98">
        <f t="shared" si="50"/>
        <v>0.78</v>
      </c>
      <c r="X75" s="101">
        <f t="shared" si="51"/>
        <v>0.21999999999999997</v>
      </c>
      <c r="Y75" s="100">
        <f t="shared" si="52"/>
        <v>10.43161094224924</v>
      </c>
      <c r="Z75" s="98">
        <f t="shared" si="28"/>
        <v>28.111428366747511</v>
      </c>
      <c r="AA75" s="98">
        <f t="shared" si="29"/>
        <v>23.092807466455344</v>
      </c>
      <c r="AB75" s="98">
        <v>0</v>
      </c>
      <c r="AC75" s="98">
        <f t="shared" si="53"/>
        <v>0.5919383099178811</v>
      </c>
      <c r="AD75" s="101">
        <f t="shared" si="62"/>
        <v>0.5919383099178811</v>
      </c>
      <c r="AE75" s="100">
        <f t="shared" si="70"/>
        <v>17.858585858585858</v>
      </c>
      <c r="AF75" s="98">
        <f t="shared" si="63"/>
        <v>20.395015327588382</v>
      </c>
      <c r="AG75" s="98">
        <f t="shared" si="54"/>
        <v>1.9549962559990557</v>
      </c>
      <c r="AH75" s="98">
        <f t="shared" si="55"/>
        <v>11.112761761060517</v>
      </c>
      <c r="AI75" s="101">
        <f t="shared" si="64"/>
        <v>13.067758017059573</v>
      </c>
      <c r="AJ75" s="100">
        <f t="shared" si="65"/>
        <v>5.0370370370370354</v>
      </c>
      <c r="AK75" s="98">
        <f t="shared" si="56"/>
        <v>10.83148680792303</v>
      </c>
      <c r="AL75" s="98">
        <f t="shared" si="57"/>
        <v>7.7066666666666661</v>
      </c>
      <c r="AM75" s="98">
        <f t="shared" si="58"/>
        <v>0.35594999999999999</v>
      </c>
      <c r="AN75" s="101">
        <f t="shared" si="66"/>
        <v>8.062616666666667</v>
      </c>
      <c r="AO75" s="100">
        <f t="shared" si="59"/>
        <v>0.54074364527633445</v>
      </c>
      <c r="AP75" s="98">
        <f t="shared" si="60"/>
        <v>0.13702500000000001</v>
      </c>
      <c r="AQ75" s="101">
        <f t="shared" si="61"/>
        <v>9.8999999999999991E-3</v>
      </c>
      <c r="AR75" s="100">
        <f t="shared" si="67"/>
        <v>22.409981638920456</v>
      </c>
      <c r="AS75" s="98">
        <f t="shared" si="68"/>
        <v>453.33333333333331</v>
      </c>
      <c r="AT75" s="101">
        <f t="shared" si="69"/>
        <v>95.289480496383334</v>
      </c>
    </row>
    <row r="76" spans="17:46" x14ac:dyDescent="0.25">
      <c r="Q76" s="32">
        <v>69</v>
      </c>
      <c r="R76" s="100">
        <f t="shared" si="45"/>
        <v>100</v>
      </c>
      <c r="S76" s="98">
        <f t="shared" si="46"/>
        <v>4.5999999999999996</v>
      </c>
      <c r="T76" s="98">
        <f t="shared" si="47"/>
        <v>22</v>
      </c>
      <c r="U76" s="101">
        <f t="shared" si="48"/>
        <v>23.232323232323228</v>
      </c>
      <c r="V76" s="100">
        <f t="shared" si="49"/>
        <v>2</v>
      </c>
      <c r="W76" s="98">
        <f t="shared" si="50"/>
        <v>0.78</v>
      </c>
      <c r="X76" s="101">
        <f t="shared" si="51"/>
        <v>0.21999999999999997</v>
      </c>
      <c r="Y76" s="100">
        <f t="shared" si="52"/>
        <v>10.43161094224924</v>
      </c>
      <c r="Z76" s="98">
        <f t="shared" si="28"/>
        <v>28.44812870344785</v>
      </c>
      <c r="AA76" s="98">
        <f t="shared" si="29"/>
        <v>23.426673935395741</v>
      </c>
      <c r="AB76" s="98">
        <v>0</v>
      </c>
      <c r="AC76" s="98">
        <f t="shared" si="53"/>
        <v>0.60917804735963865</v>
      </c>
      <c r="AD76" s="101">
        <f t="shared" si="62"/>
        <v>0.60917804735963865</v>
      </c>
      <c r="AE76" s="100">
        <f t="shared" si="70"/>
        <v>18.121212121212118</v>
      </c>
      <c r="AF76" s="98">
        <f t="shared" si="63"/>
        <v>20.689878209085069</v>
      </c>
      <c r="AG76" s="98">
        <f t="shared" si="54"/>
        <v>2.0119339834418342</v>
      </c>
      <c r="AH76" s="98">
        <f t="shared" si="55"/>
        <v>11.276184728134936</v>
      </c>
      <c r="AI76" s="101">
        <f t="shared" si="64"/>
        <v>13.28811871157677</v>
      </c>
      <c r="AJ76" s="100">
        <f t="shared" si="65"/>
        <v>5.1111111111111098</v>
      </c>
      <c r="AK76" s="98">
        <f t="shared" si="56"/>
        <v>10.988084062682494</v>
      </c>
      <c r="AL76" s="98">
        <f t="shared" si="57"/>
        <v>7.8199999999999994</v>
      </c>
      <c r="AM76" s="98">
        <f t="shared" si="58"/>
        <v>0.35594999999999999</v>
      </c>
      <c r="AN76" s="101">
        <f t="shared" si="66"/>
        <v>8.1759500000000003</v>
      </c>
      <c r="AO76" s="100">
        <f t="shared" si="59"/>
        <v>0.55649237839880505</v>
      </c>
      <c r="AP76" s="98">
        <f t="shared" si="60"/>
        <v>0.13702500000000001</v>
      </c>
      <c r="AQ76" s="101">
        <f t="shared" si="61"/>
        <v>9.8999999999999991E-3</v>
      </c>
      <c r="AR76" s="100">
        <f t="shared" si="67"/>
        <v>22.77666413733521</v>
      </c>
      <c r="AS76" s="98">
        <f t="shared" si="68"/>
        <v>459.99999999999994</v>
      </c>
      <c r="AT76" s="101">
        <f t="shared" si="69"/>
        <v>95.282153047303055</v>
      </c>
    </row>
    <row r="77" spans="17:46" x14ac:dyDescent="0.25">
      <c r="Q77" s="32">
        <v>70</v>
      </c>
      <c r="R77" s="100">
        <f t="shared" si="45"/>
        <v>100</v>
      </c>
      <c r="S77" s="98">
        <f t="shared" si="46"/>
        <v>4.666666666666667</v>
      </c>
      <c r="T77" s="98">
        <f t="shared" si="47"/>
        <v>22</v>
      </c>
      <c r="U77" s="101">
        <f t="shared" si="48"/>
        <v>23.569023569023567</v>
      </c>
      <c r="V77" s="100">
        <f t="shared" si="49"/>
        <v>2</v>
      </c>
      <c r="W77" s="98">
        <f t="shared" si="50"/>
        <v>0.78</v>
      </c>
      <c r="X77" s="101">
        <f t="shared" si="51"/>
        <v>0.21999999999999997</v>
      </c>
      <c r="Y77" s="100">
        <f t="shared" si="52"/>
        <v>10.43161094224924</v>
      </c>
      <c r="Z77" s="98">
        <f t="shared" si="28"/>
        <v>28.784829040148189</v>
      </c>
      <c r="AA77" s="98">
        <f t="shared" si="29"/>
        <v>23.7606203812399</v>
      </c>
      <c r="AB77" s="98">
        <v>0</v>
      </c>
      <c r="AC77" s="98">
        <f t="shared" si="53"/>
        <v>0.62666945980054622</v>
      </c>
      <c r="AD77" s="101">
        <f t="shared" si="62"/>
        <v>0.62666945980054622</v>
      </c>
      <c r="AE77" s="100">
        <f t="shared" si="70"/>
        <v>18.383838383838384</v>
      </c>
      <c r="AF77" s="98">
        <f t="shared" si="63"/>
        <v>20.984811724270642</v>
      </c>
      <c r="AG77" s="98">
        <f t="shared" si="54"/>
        <v>2.0697029185845071</v>
      </c>
      <c r="AH77" s="98">
        <f t="shared" si="55"/>
        <v>11.439607695209355</v>
      </c>
      <c r="AI77" s="101">
        <f t="shared" si="64"/>
        <v>13.509310613793863</v>
      </c>
      <c r="AJ77" s="100">
        <f t="shared" si="65"/>
        <v>5.1851851851851842</v>
      </c>
      <c r="AK77" s="98">
        <f t="shared" si="56"/>
        <v>11.144718829934941</v>
      </c>
      <c r="AL77" s="98">
        <f t="shared" si="57"/>
        <v>7.9333333333333336</v>
      </c>
      <c r="AM77" s="98">
        <f t="shared" si="58"/>
        <v>0.35594999999999999</v>
      </c>
      <c r="AN77" s="101">
        <f t="shared" si="66"/>
        <v>8.2892833333333336</v>
      </c>
      <c r="AO77" s="100">
        <f t="shared" si="59"/>
        <v>0.57247102003401262</v>
      </c>
      <c r="AP77" s="98">
        <f t="shared" si="60"/>
        <v>0.13702500000000001</v>
      </c>
      <c r="AQ77" s="101">
        <f t="shared" si="61"/>
        <v>9.8999999999999991E-3</v>
      </c>
      <c r="AR77" s="100">
        <f t="shared" si="67"/>
        <v>23.144659426961756</v>
      </c>
      <c r="AS77" s="98">
        <f t="shared" si="68"/>
        <v>466.66666666666669</v>
      </c>
      <c r="AT77" s="101">
        <f t="shared" si="69"/>
        <v>95.274780676970778</v>
      </c>
    </row>
    <row r="78" spans="17:46" x14ac:dyDescent="0.25">
      <c r="Q78" s="32">
        <v>71</v>
      </c>
      <c r="R78" s="100">
        <f t="shared" si="45"/>
        <v>100</v>
      </c>
      <c r="S78" s="98">
        <f t="shared" si="46"/>
        <v>4.7333333333333334</v>
      </c>
      <c r="T78" s="98">
        <f t="shared" si="47"/>
        <v>22</v>
      </c>
      <c r="U78" s="101">
        <f t="shared" si="48"/>
        <v>23.905723905723903</v>
      </c>
      <c r="V78" s="100">
        <f t="shared" si="49"/>
        <v>2</v>
      </c>
      <c r="W78" s="98">
        <f t="shared" si="50"/>
        <v>0.78</v>
      </c>
      <c r="X78" s="101">
        <f t="shared" si="51"/>
        <v>0.21999999999999997</v>
      </c>
      <c r="Y78" s="100">
        <f t="shared" si="52"/>
        <v>10.43161094224924</v>
      </c>
      <c r="Z78" s="98">
        <f t="shared" si="28"/>
        <v>29.121529376848521</v>
      </c>
      <c r="AA78" s="98">
        <f t="shared" si="29"/>
        <v>24.094643478601292</v>
      </c>
      <c r="AB78" s="98">
        <v>0</v>
      </c>
      <c r="AC78" s="98">
        <f t="shared" si="53"/>
        <v>0.64441254724060315</v>
      </c>
      <c r="AD78" s="101">
        <f t="shared" si="62"/>
        <v>0.64441254724060315</v>
      </c>
      <c r="AE78" s="100">
        <f t="shared" si="70"/>
        <v>18.646464646464644</v>
      </c>
      <c r="AF78" s="98">
        <f t="shared" si="63"/>
        <v>21.279812936243236</v>
      </c>
      <c r="AG78" s="98">
        <f t="shared" si="54"/>
        <v>2.1283030614270735</v>
      </c>
      <c r="AH78" s="98">
        <f t="shared" si="55"/>
        <v>11.603030662283775</v>
      </c>
      <c r="AI78" s="101">
        <f t="shared" si="64"/>
        <v>13.731333723710849</v>
      </c>
      <c r="AJ78" s="100">
        <f t="shared" si="65"/>
        <v>5.2592592592592577</v>
      </c>
      <c r="AK78" s="98">
        <f t="shared" si="56"/>
        <v>11.301389549935831</v>
      </c>
      <c r="AL78" s="98">
        <f t="shared" si="57"/>
        <v>8.0466666666666669</v>
      </c>
      <c r="AM78" s="98">
        <f t="shared" si="58"/>
        <v>0.35594999999999999</v>
      </c>
      <c r="AN78" s="101">
        <f t="shared" si="66"/>
        <v>8.4026166666666668</v>
      </c>
      <c r="AO78" s="100">
        <f t="shared" si="59"/>
        <v>0.58867957018195638</v>
      </c>
      <c r="AP78" s="98">
        <f t="shared" si="60"/>
        <v>0.13702500000000001</v>
      </c>
      <c r="AQ78" s="101">
        <f t="shared" si="61"/>
        <v>9.8999999999999991E-3</v>
      </c>
      <c r="AR78" s="100">
        <f t="shared" si="67"/>
        <v>23.513967507800075</v>
      </c>
      <c r="AS78" s="98">
        <f t="shared" si="68"/>
        <v>473.33333333333331</v>
      </c>
      <c r="AT78" s="101">
        <f t="shared" si="69"/>
        <v>95.267365351891357</v>
      </c>
    </row>
    <row r="79" spans="17:46" x14ac:dyDescent="0.25">
      <c r="Q79" s="32">
        <v>72</v>
      </c>
      <c r="R79" s="100">
        <f t="shared" si="45"/>
        <v>100</v>
      </c>
      <c r="S79" s="98">
        <f t="shared" si="46"/>
        <v>4.8</v>
      </c>
      <c r="T79" s="98">
        <f t="shared" si="47"/>
        <v>22</v>
      </c>
      <c r="U79" s="101">
        <f t="shared" si="48"/>
        <v>24.242424242424242</v>
      </c>
      <c r="V79" s="100">
        <f t="shared" si="49"/>
        <v>2</v>
      </c>
      <c r="W79" s="98">
        <f t="shared" si="50"/>
        <v>0.78</v>
      </c>
      <c r="X79" s="101">
        <f t="shared" si="51"/>
        <v>0.21999999999999997</v>
      </c>
      <c r="Y79" s="100">
        <f t="shared" si="52"/>
        <v>10.43161094224924</v>
      </c>
      <c r="Z79" s="98">
        <f t="shared" si="28"/>
        <v>29.45822971354886</v>
      </c>
      <c r="AA79" s="98">
        <f t="shared" si="29"/>
        <v>24.428740083227442</v>
      </c>
      <c r="AB79" s="98">
        <v>0</v>
      </c>
      <c r="AC79" s="98">
        <f t="shared" si="53"/>
        <v>0.66240730967981032</v>
      </c>
      <c r="AD79" s="101">
        <f t="shared" si="62"/>
        <v>0.66240730967981032</v>
      </c>
      <c r="AE79" s="100">
        <f t="shared" si="70"/>
        <v>18.90909090909091</v>
      </c>
      <c r="AF79" s="98">
        <f t="shared" si="63"/>
        <v>21.574879068074257</v>
      </c>
      <c r="AG79" s="98">
        <f t="shared" si="54"/>
        <v>2.1877344119695352</v>
      </c>
      <c r="AH79" s="98">
        <f t="shared" si="55"/>
        <v>11.766453629358194</v>
      </c>
      <c r="AI79" s="101">
        <f t="shared" si="64"/>
        <v>13.954188041327729</v>
      </c>
      <c r="AJ79" s="100">
        <f t="shared" si="65"/>
        <v>5.333333333333333</v>
      </c>
      <c r="AK79" s="98">
        <f t="shared" si="56"/>
        <v>11.458094747900029</v>
      </c>
      <c r="AL79" s="98">
        <f t="shared" si="57"/>
        <v>8.16</v>
      </c>
      <c r="AM79" s="98">
        <f t="shared" si="58"/>
        <v>0.35594999999999999</v>
      </c>
      <c r="AN79" s="101">
        <f t="shared" si="66"/>
        <v>8.5159500000000001</v>
      </c>
      <c r="AO79" s="100">
        <f t="shared" si="59"/>
        <v>0.60511802884263732</v>
      </c>
      <c r="AP79" s="98">
        <f t="shared" si="60"/>
        <v>0.13702500000000001</v>
      </c>
      <c r="AQ79" s="101">
        <f t="shared" si="61"/>
        <v>9.8999999999999991E-3</v>
      </c>
      <c r="AR79" s="100">
        <f t="shared" si="67"/>
        <v>23.884588379850179</v>
      </c>
      <c r="AS79" s="98">
        <f t="shared" si="68"/>
        <v>480</v>
      </c>
      <c r="AT79" s="101">
        <f t="shared" si="69"/>
        <v>95.259908929414422</v>
      </c>
    </row>
    <row r="80" spans="17:46" x14ac:dyDescent="0.25">
      <c r="Q80" s="32">
        <v>73</v>
      </c>
      <c r="R80" s="100">
        <f t="shared" si="45"/>
        <v>100</v>
      </c>
      <c r="S80" s="98">
        <f t="shared" si="46"/>
        <v>4.8666666666666663</v>
      </c>
      <c r="T80" s="98">
        <f t="shared" si="47"/>
        <v>22</v>
      </c>
      <c r="U80" s="101">
        <f t="shared" si="48"/>
        <v>24.579124579124578</v>
      </c>
      <c r="V80" s="100">
        <f t="shared" si="49"/>
        <v>2</v>
      </c>
      <c r="W80" s="98">
        <f t="shared" si="50"/>
        <v>0.78</v>
      </c>
      <c r="X80" s="101">
        <f t="shared" si="51"/>
        <v>0.21999999999999997</v>
      </c>
      <c r="Y80" s="100">
        <f t="shared" si="52"/>
        <v>10.43161094224924</v>
      </c>
      <c r="Z80" s="98">
        <f t="shared" ref="Z80:Z143" si="71">CHOOSE(V80,Y80,U80+(0.5*Y80))</f>
        <v>29.794930050249199</v>
      </c>
      <c r="AA80" s="98">
        <f t="shared" ref="AA80:AA143" si="72">CHOOSE(V80,Z80*SQRT((W80+X80)/3),SQRT((U80^2)+((Y80^2)/12)))</f>
        <v>24.762907219878901</v>
      </c>
      <c r="AB80" s="98">
        <v>0</v>
      </c>
      <c r="AC80" s="98">
        <f t="shared" si="53"/>
        <v>0.68065374711816706</v>
      </c>
      <c r="AD80" s="101">
        <f t="shared" si="62"/>
        <v>0.68065374711816706</v>
      </c>
      <c r="AE80" s="100">
        <f t="shared" si="70"/>
        <v>19.171717171717173</v>
      </c>
      <c r="AF80" s="98">
        <f t="shared" si="63"/>
        <v>21.870007492103376</v>
      </c>
      <c r="AG80" s="98">
        <f t="shared" si="54"/>
        <v>2.2479969702118918</v>
      </c>
      <c r="AH80" s="98">
        <f t="shared" si="55"/>
        <v>11.929876596432614</v>
      </c>
      <c r="AI80" s="101">
        <f t="shared" si="64"/>
        <v>14.177873566644505</v>
      </c>
      <c r="AJ80" s="100">
        <f t="shared" si="65"/>
        <v>5.4074074074074066</v>
      </c>
      <c r="AK80" s="98">
        <f t="shared" si="56"/>
        <v>11.614833028316538</v>
      </c>
      <c r="AL80" s="98">
        <f t="shared" si="57"/>
        <v>8.2733333333333317</v>
      </c>
      <c r="AM80" s="98">
        <f t="shared" si="58"/>
        <v>0.35594999999999999</v>
      </c>
      <c r="AN80" s="101">
        <f t="shared" si="66"/>
        <v>8.6292833333333316</v>
      </c>
      <c r="AO80" s="100">
        <f t="shared" si="59"/>
        <v>0.62178639601605512</v>
      </c>
      <c r="AP80" s="98">
        <f t="shared" si="60"/>
        <v>0.13702500000000001</v>
      </c>
      <c r="AQ80" s="101">
        <f t="shared" si="61"/>
        <v>9.8999999999999991E-3</v>
      </c>
      <c r="AR80" s="100">
        <f t="shared" si="67"/>
        <v>24.25652204311206</v>
      </c>
      <c r="AS80" s="98">
        <f t="shared" si="68"/>
        <v>486.66666666666663</v>
      </c>
      <c r="AT80" s="101">
        <f t="shared" si="69"/>
        <v>95.252413165202682</v>
      </c>
    </row>
    <row r="81" spans="17:46" x14ac:dyDescent="0.25">
      <c r="Q81" s="32">
        <v>74</v>
      </c>
      <c r="R81" s="100">
        <f t="shared" si="45"/>
        <v>100</v>
      </c>
      <c r="S81" s="98">
        <f t="shared" si="46"/>
        <v>4.9333333333333336</v>
      </c>
      <c r="T81" s="98">
        <f t="shared" si="47"/>
        <v>22</v>
      </c>
      <c r="U81" s="101">
        <f t="shared" si="48"/>
        <v>24.915824915824917</v>
      </c>
      <c r="V81" s="100">
        <f t="shared" si="49"/>
        <v>2</v>
      </c>
      <c r="W81" s="98">
        <f t="shared" si="50"/>
        <v>0.78</v>
      </c>
      <c r="X81" s="101">
        <f t="shared" si="51"/>
        <v>0.21999999999999997</v>
      </c>
      <c r="Y81" s="100">
        <f t="shared" si="52"/>
        <v>10.43161094224924</v>
      </c>
      <c r="Z81" s="98">
        <f t="shared" si="71"/>
        <v>30.131630386949539</v>
      </c>
      <c r="AA81" s="98">
        <f t="shared" si="72"/>
        <v>25.09714207116512</v>
      </c>
      <c r="AB81" s="98">
        <v>0</v>
      </c>
      <c r="AC81" s="98">
        <f t="shared" si="53"/>
        <v>0.69915185955567338</v>
      </c>
      <c r="AD81" s="101">
        <f t="shared" si="62"/>
        <v>0.69915185955567338</v>
      </c>
      <c r="AE81" s="100">
        <f t="shared" si="70"/>
        <v>19.434343434343436</v>
      </c>
      <c r="AF81" s="98">
        <f t="shared" si="63"/>
        <v>22.165195720078632</v>
      </c>
      <c r="AG81" s="98">
        <f t="shared" si="54"/>
        <v>2.3090907361541428</v>
      </c>
      <c r="AH81" s="98">
        <f t="shared" si="55"/>
        <v>12.093299563507037</v>
      </c>
      <c r="AI81" s="101">
        <f t="shared" si="64"/>
        <v>14.40239029966118</v>
      </c>
      <c r="AJ81" s="100">
        <f t="shared" si="65"/>
        <v>5.481481481481481</v>
      </c>
      <c r="AK81" s="98">
        <f t="shared" si="56"/>
        <v>11.77160306971205</v>
      </c>
      <c r="AL81" s="98">
        <f t="shared" si="57"/>
        <v>8.3866666666666667</v>
      </c>
      <c r="AM81" s="98">
        <f t="shared" si="58"/>
        <v>0.35594999999999999</v>
      </c>
      <c r="AN81" s="101">
        <f t="shared" si="66"/>
        <v>8.7426166666666667</v>
      </c>
      <c r="AO81" s="100">
        <f t="shared" si="59"/>
        <v>0.63868467170220966</v>
      </c>
      <c r="AP81" s="98">
        <f t="shared" si="60"/>
        <v>0.13702500000000001</v>
      </c>
      <c r="AQ81" s="101">
        <f t="shared" si="61"/>
        <v>9.8999999999999991E-3</v>
      </c>
      <c r="AR81" s="100">
        <f t="shared" si="67"/>
        <v>24.629768497585729</v>
      </c>
      <c r="AS81" s="98">
        <f t="shared" si="68"/>
        <v>493.33333333333337</v>
      </c>
      <c r="AT81" s="101">
        <f t="shared" si="69"/>
        <v>95.244879720095255</v>
      </c>
    </row>
    <row r="82" spans="17:46" x14ac:dyDescent="0.25">
      <c r="Q82" s="32">
        <v>75</v>
      </c>
      <c r="R82" s="100">
        <f t="shared" si="45"/>
        <v>100</v>
      </c>
      <c r="S82" s="98">
        <f t="shared" si="46"/>
        <v>5</v>
      </c>
      <c r="T82" s="98">
        <f t="shared" si="47"/>
        <v>22</v>
      </c>
      <c r="U82" s="101">
        <f t="shared" si="48"/>
        <v>25.252525252525253</v>
      </c>
      <c r="V82" s="100">
        <f t="shared" si="49"/>
        <v>2</v>
      </c>
      <c r="W82" s="98">
        <f t="shared" si="50"/>
        <v>0.78</v>
      </c>
      <c r="X82" s="101">
        <f t="shared" si="51"/>
        <v>0.21999999999999997</v>
      </c>
      <c r="Y82" s="100">
        <f t="shared" si="52"/>
        <v>10.43161094224924</v>
      </c>
      <c r="Z82" s="98">
        <f t="shared" si="71"/>
        <v>30.468330723649871</v>
      </c>
      <c r="AA82" s="98">
        <f t="shared" si="72"/>
        <v>25.431441967250503</v>
      </c>
      <c r="AB82" s="98">
        <v>0</v>
      </c>
      <c r="AC82" s="98">
        <f t="shared" si="53"/>
        <v>0.7179016469923295</v>
      </c>
      <c r="AD82" s="101">
        <f t="shared" si="62"/>
        <v>0.7179016469923295</v>
      </c>
      <c r="AE82" s="100">
        <f t="shared" si="70"/>
        <v>19.696969696969699</v>
      </c>
      <c r="AF82" s="98">
        <f t="shared" si="63"/>
        <v>22.460441394065064</v>
      </c>
      <c r="AG82" s="98">
        <f t="shared" si="54"/>
        <v>2.3710157097962878</v>
      </c>
      <c r="AH82" s="98">
        <f t="shared" si="55"/>
        <v>12.256722530581454</v>
      </c>
      <c r="AI82" s="101">
        <f t="shared" si="64"/>
        <v>14.627738240377742</v>
      </c>
      <c r="AJ82" s="100">
        <f t="shared" si="65"/>
        <v>5.5555555555555545</v>
      </c>
      <c r="AK82" s="98">
        <f t="shared" si="56"/>
        <v>11.928403619822671</v>
      </c>
      <c r="AL82" s="98">
        <f t="shared" si="57"/>
        <v>8.5</v>
      </c>
      <c r="AM82" s="98">
        <f t="shared" si="58"/>
        <v>0.35594999999999999</v>
      </c>
      <c r="AN82" s="101">
        <f t="shared" si="66"/>
        <v>8.85595</v>
      </c>
      <c r="AO82" s="100">
        <f t="shared" si="59"/>
        <v>0.65581285590110083</v>
      </c>
      <c r="AP82" s="98">
        <f t="shared" si="60"/>
        <v>0.13702500000000001</v>
      </c>
      <c r="AQ82" s="101">
        <f t="shared" si="61"/>
        <v>9.8999999999999991E-3</v>
      </c>
      <c r="AR82" s="100">
        <f t="shared" si="67"/>
        <v>25.004327743271173</v>
      </c>
      <c r="AS82" s="98">
        <f t="shared" si="68"/>
        <v>500</v>
      </c>
      <c r="AT82" s="101">
        <f t="shared" si="69"/>
        <v>95.237310166422418</v>
      </c>
    </row>
    <row r="83" spans="17:46" x14ac:dyDescent="0.25">
      <c r="Q83" s="32">
        <v>76</v>
      </c>
      <c r="R83" s="100">
        <f t="shared" si="45"/>
        <v>100</v>
      </c>
      <c r="S83" s="98">
        <f t="shared" si="46"/>
        <v>5.0666666666666664</v>
      </c>
      <c r="T83" s="98">
        <f t="shared" si="47"/>
        <v>22</v>
      </c>
      <c r="U83" s="101">
        <f t="shared" si="48"/>
        <v>25.589225589225585</v>
      </c>
      <c r="V83" s="100">
        <f t="shared" si="49"/>
        <v>2</v>
      </c>
      <c r="W83" s="98">
        <f t="shared" si="50"/>
        <v>0.78</v>
      </c>
      <c r="X83" s="101">
        <f t="shared" si="51"/>
        <v>0.21999999999999997</v>
      </c>
      <c r="Y83" s="100">
        <f t="shared" si="52"/>
        <v>10.43161094224924</v>
      </c>
      <c r="Z83" s="98">
        <f t="shared" si="71"/>
        <v>30.805031060350203</v>
      </c>
      <c r="AA83" s="98">
        <f t="shared" si="72"/>
        <v>25.765804376352818</v>
      </c>
      <c r="AB83" s="98">
        <v>0</v>
      </c>
      <c r="AC83" s="98">
        <f t="shared" si="53"/>
        <v>0.73690310942813508</v>
      </c>
      <c r="AD83" s="101">
        <f t="shared" si="62"/>
        <v>0.73690310942813508</v>
      </c>
      <c r="AE83" s="100">
        <f t="shared" si="70"/>
        <v>19.959595959595958</v>
      </c>
      <c r="AF83" s="98">
        <f t="shared" si="63"/>
        <v>22.755742278053159</v>
      </c>
      <c r="AG83" s="98">
        <f t="shared" si="54"/>
        <v>2.4337718911383273</v>
      </c>
      <c r="AH83" s="98">
        <f t="shared" si="55"/>
        <v>12.420145497655872</v>
      </c>
      <c r="AI83" s="101">
        <f t="shared" si="64"/>
        <v>14.8539173887942</v>
      </c>
      <c r="AJ83" s="100">
        <f t="shared" si="65"/>
        <v>5.629629629629628</v>
      </c>
      <c r="AK83" s="98">
        <f t="shared" si="56"/>
        <v>12.085233491137274</v>
      </c>
      <c r="AL83" s="98">
        <f t="shared" si="57"/>
        <v>8.6133333333333333</v>
      </c>
      <c r="AM83" s="98">
        <f t="shared" si="58"/>
        <v>0.35594999999999999</v>
      </c>
      <c r="AN83" s="101">
        <f t="shared" si="66"/>
        <v>8.9692833333333333</v>
      </c>
      <c r="AO83" s="100">
        <f t="shared" si="59"/>
        <v>0.67317094861272875</v>
      </c>
      <c r="AP83" s="98">
        <f t="shared" si="60"/>
        <v>0.13702500000000001</v>
      </c>
      <c r="AQ83" s="101">
        <f t="shared" si="61"/>
        <v>9.8999999999999991E-3</v>
      </c>
      <c r="AR83" s="100">
        <f t="shared" si="67"/>
        <v>25.380199780168393</v>
      </c>
      <c r="AS83" s="98">
        <f t="shared" si="68"/>
        <v>506.66666666666663</v>
      </c>
      <c r="AT83" s="101">
        <f t="shared" si="69"/>
        <v>95.229705993822549</v>
      </c>
    </row>
    <row r="84" spans="17:46" x14ac:dyDescent="0.25">
      <c r="Q84" s="32">
        <v>77</v>
      </c>
      <c r="R84" s="100">
        <f t="shared" si="45"/>
        <v>100</v>
      </c>
      <c r="S84" s="98">
        <f t="shared" si="46"/>
        <v>5.1333333333333329</v>
      </c>
      <c r="T84" s="98">
        <f t="shared" si="47"/>
        <v>22</v>
      </c>
      <c r="U84" s="101">
        <f t="shared" si="48"/>
        <v>25.92592592592592</v>
      </c>
      <c r="V84" s="100">
        <f t="shared" si="49"/>
        <v>2</v>
      </c>
      <c r="W84" s="98">
        <f t="shared" si="50"/>
        <v>0.78</v>
      </c>
      <c r="X84" s="101">
        <f t="shared" si="51"/>
        <v>0.21999999999999997</v>
      </c>
      <c r="Y84" s="100">
        <f t="shared" si="52"/>
        <v>10.43161094224924</v>
      </c>
      <c r="Z84" s="98">
        <f t="shared" si="71"/>
        <v>31.141731397050542</v>
      </c>
      <c r="AA84" s="98">
        <f t="shared" si="72"/>
        <v>26.100226895963996</v>
      </c>
      <c r="AB84" s="98">
        <v>0</v>
      </c>
      <c r="AC84" s="98">
        <f t="shared" si="53"/>
        <v>0.75615624686309069</v>
      </c>
      <c r="AD84" s="101">
        <f t="shared" si="62"/>
        <v>0.75615624686309069</v>
      </c>
      <c r="AE84" s="100">
        <f t="shared" si="70"/>
        <v>20.222222222222218</v>
      </c>
      <c r="AF84" s="98">
        <f t="shared" si="63"/>
        <v>23.051096250205237</v>
      </c>
      <c r="AG84" s="98">
        <f t="shared" si="54"/>
        <v>2.497359280180262</v>
      </c>
      <c r="AH84" s="98">
        <f t="shared" si="55"/>
        <v>12.583568464730291</v>
      </c>
      <c r="AI84" s="101">
        <f t="shared" si="64"/>
        <v>15.080927744910554</v>
      </c>
      <c r="AJ84" s="100">
        <f t="shared" si="65"/>
        <v>5.7037037037037015</v>
      </c>
      <c r="AK84" s="98">
        <f t="shared" si="56"/>
        <v>12.242091556779688</v>
      </c>
      <c r="AL84" s="98">
        <f t="shared" si="57"/>
        <v>8.7266666666666648</v>
      </c>
      <c r="AM84" s="98">
        <f t="shared" si="58"/>
        <v>0.35594999999999999</v>
      </c>
      <c r="AN84" s="101">
        <f t="shared" si="66"/>
        <v>9.0826166666666648</v>
      </c>
      <c r="AO84" s="100">
        <f t="shared" si="59"/>
        <v>0.69075894983709374</v>
      </c>
      <c r="AP84" s="98">
        <f t="shared" si="60"/>
        <v>0.13702500000000001</v>
      </c>
      <c r="AQ84" s="101">
        <f t="shared" si="61"/>
        <v>9.8999999999999991E-3</v>
      </c>
      <c r="AR84" s="100">
        <f t="shared" si="67"/>
        <v>25.757384608277402</v>
      </c>
      <c r="AS84" s="98">
        <f t="shared" si="68"/>
        <v>513.33333333333326</v>
      </c>
      <c r="AT84" s="101">
        <f t="shared" si="69"/>
        <v>95.222068614606115</v>
      </c>
    </row>
    <row r="85" spans="17:46" x14ac:dyDescent="0.25">
      <c r="Q85" s="32">
        <v>78</v>
      </c>
      <c r="R85" s="100">
        <f t="shared" si="45"/>
        <v>100</v>
      </c>
      <c r="S85" s="98">
        <f t="shared" si="46"/>
        <v>5.2</v>
      </c>
      <c r="T85" s="98">
        <f t="shared" si="47"/>
        <v>22</v>
      </c>
      <c r="U85" s="101">
        <f t="shared" si="48"/>
        <v>26.262626262626263</v>
      </c>
      <c r="V85" s="100">
        <f t="shared" si="49"/>
        <v>2</v>
      </c>
      <c r="W85" s="98">
        <f t="shared" si="50"/>
        <v>0.78</v>
      </c>
      <c r="X85" s="101">
        <f t="shared" si="51"/>
        <v>0.21999999999999997</v>
      </c>
      <c r="Y85" s="100">
        <f t="shared" si="52"/>
        <v>10.43161094224924</v>
      </c>
      <c r="Z85" s="98">
        <f t="shared" si="71"/>
        <v>31.478431733750881</v>
      </c>
      <c r="AA85" s="98">
        <f t="shared" si="72"/>
        <v>26.434707244730198</v>
      </c>
      <c r="AB85" s="98">
        <v>0</v>
      </c>
      <c r="AC85" s="98">
        <f t="shared" si="53"/>
        <v>0.77566105929719642</v>
      </c>
      <c r="AD85" s="101">
        <f t="shared" si="62"/>
        <v>0.77566105929719642</v>
      </c>
      <c r="AE85" s="100">
        <f t="shared" si="70"/>
        <v>20.484848484848484</v>
      </c>
      <c r="AF85" s="98">
        <f t="shared" si="63"/>
        <v>23.346501295684138</v>
      </c>
      <c r="AG85" s="98">
        <f t="shared" si="54"/>
        <v>2.5617778769220911</v>
      </c>
      <c r="AH85" s="98">
        <f t="shared" si="55"/>
        <v>12.746991431804712</v>
      </c>
      <c r="AI85" s="101">
        <f t="shared" si="64"/>
        <v>15.308769308726804</v>
      </c>
      <c r="AJ85" s="100">
        <f t="shared" si="65"/>
        <v>5.7777777777777768</v>
      </c>
      <c r="AK85" s="98">
        <f t="shared" si="56"/>
        <v>12.398976746700109</v>
      </c>
      <c r="AL85" s="98">
        <f t="shared" si="57"/>
        <v>8.84</v>
      </c>
      <c r="AM85" s="98">
        <f t="shared" si="58"/>
        <v>0.35594999999999999</v>
      </c>
      <c r="AN85" s="101">
        <f t="shared" si="66"/>
        <v>9.1959499999999998</v>
      </c>
      <c r="AO85" s="100">
        <f t="shared" si="59"/>
        <v>0.70857685957419547</v>
      </c>
      <c r="AP85" s="98">
        <f t="shared" si="60"/>
        <v>0.13702500000000001</v>
      </c>
      <c r="AQ85" s="101">
        <f t="shared" si="61"/>
        <v>9.8999999999999991E-3</v>
      </c>
      <c r="AR85" s="100">
        <f t="shared" si="67"/>
        <v>26.135882227598195</v>
      </c>
      <c r="AS85" s="98">
        <f t="shared" si="68"/>
        <v>520</v>
      </c>
      <c r="AT85" s="101">
        <f t="shared" si="69"/>
        <v>95.214399368707603</v>
      </c>
    </row>
    <row r="86" spans="17:46" x14ac:dyDescent="0.25">
      <c r="Q86" s="32">
        <v>79</v>
      </c>
      <c r="R86" s="100">
        <f t="shared" si="45"/>
        <v>100</v>
      </c>
      <c r="S86" s="98">
        <f t="shared" si="46"/>
        <v>5.2666666666666666</v>
      </c>
      <c r="T86" s="98">
        <f t="shared" si="47"/>
        <v>22</v>
      </c>
      <c r="U86" s="101">
        <f t="shared" si="48"/>
        <v>26.599326599326595</v>
      </c>
      <c r="V86" s="100">
        <f t="shared" si="49"/>
        <v>2</v>
      </c>
      <c r="W86" s="98">
        <f t="shared" si="50"/>
        <v>0.78</v>
      </c>
      <c r="X86" s="101">
        <f t="shared" si="51"/>
        <v>0.21999999999999997</v>
      </c>
      <c r="Y86" s="100">
        <f t="shared" si="52"/>
        <v>10.43161094224924</v>
      </c>
      <c r="Z86" s="98">
        <f t="shared" si="71"/>
        <v>31.815132070451213</v>
      </c>
      <c r="AA86" s="98">
        <f t="shared" si="72"/>
        <v>26.769243254934345</v>
      </c>
      <c r="AB86" s="98">
        <v>0</v>
      </c>
      <c r="AC86" s="98">
        <f t="shared" si="53"/>
        <v>0.79541754673045129</v>
      </c>
      <c r="AD86" s="101">
        <f t="shared" si="62"/>
        <v>0.79541754673045129</v>
      </c>
      <c r="AE86" s="100">
        <f t="shared" si="70"/>
        <v>20.747474747474744</v>
      </c>
      <c r="AF86" s="98">
        <f t="shared" si="63"/>
        <v>23.641955500013982</v>
      </c>
      <c r="AG86" s="98">
        <f t="shared" si="54"/>
        <v>2.6270276813638143</v>
      </c>
      <c r="AH86" s="98">
        <f t="shared" si="55"/>
        <v>12.91041439887913</v>
      </c>
      <c r="AI86" s="101">
        <f t="shared" si="64"/>
        <v>15.537442080242943</v>
      </c>
      <c r="AJ86" s="100">
        <f t="shared" si="65"/>
        <v>5.8518518518518503</v>
      </c>
      <c r="AK86" s="98">
        <f t="shared" si="56"/>
        <v>12.555888044149107</v>
      </c>
      <c r="AL86" s="98">
        <f t="shared" si="57"/>
        <v>8.9533333333333331</v>
      </c>
      <c r="AM86" s="98">
        <f t="shared" si="58"/>
        <v>0.35594999999999999</v>
      </c>
      <c r="AN86" s="101">
        <f t="shared" si="66"/>
        <v>9.3092833333333331</v>
      </c>
      <c r="AO86" s="100">
        <f t="shared" si="59"/>
        <v>0.72662467782403373</v>
      </c>
      <c r="AP86" s="98">
        <f t="shared" si="60"/>
        <v>0.13702500000000001</v>
      </c>
      <c r="AQ86" s="101">
        <f t="shared" si="61"/>
        <v>9.8999999999999991E-3</v>
      </c>
      <c r="AR86" s="100">
        <f t="shared" si="67"/>
        <v>26.515692638130762</v>
      </c>
      <c r="AS86" s="98">
        <f t="shared" si="68"/>
        <v>526.66666666666663</v>
      </c>
      <c r="AT86" s="101">
        <f t="shared" si="69"/>
        <v>95.206699528261552</v>
      </c>
    </row>
    <row r="87" spans="17:46" x14ac:dyDescent="0.25">
      <c r="Q87" s="32">
        <v>80</v>
      </c>
      <c r="R87" s="100">
        <f t="shared" si="45"/>
        <v>100</v>
      </c>
      <c r="S87" s="98">
        <f t="shared" si="46"/>
        <v>5.333333333333333</v>
      </c>
      <c r="T87" s="98">
        <f t="shared" si="47"/>
        <v>22</v>
      </c>
      <c r="U87" s="101">
        <f t="shared" si="48"/>
        <v>26.936026936026931</v>
      </c>
      <c r="V87" s="100">
        <f t="shared" si="49"/>
        <v>2</v>
      </c>
      <c r="W87" s="98">
        <f t="shared" si="50"/>
        <v>0.78</v>
      </c>
      <c r="X87" s="101">
        <f t="shared" si="51"/>
        <v>0.21999999999999997</v>
      </c>
      <c r="Y87" s="100">
        <f t="shared" si="52"/>
        <v>10.43161094224924</v>
      </c>
      <c r="Z87" s="98">
        <f t="shared" si="71"/>
        <v>32.151832407151552</v>
      </c>
      <c r="AA87" s="98">
        <f t="shared" si="72"/>
        <v>27.103832865529792</v>
      </c>
      <c r="AB87" s="98">
        <v>0</v>
      </c>
      <c r="AC87" s="98">
        <f t="shared" si="53"/>
        <v>0.81542570916285606</v>
      </c>
      <c r="AD87" s="101">
        <f t="shared" si="62"/>
        <v>0.81542570916285606</v>
      </c>
      <c r="AE87" s="100">
        <f t="shared" si="70"/>
        <v>21.010101010101007</v>
      </c>
      <c r="AF87" s="98">
        <f t="shared" si="63"/>
        <v>23.937457042927658</v>
      </c>
      <c r="AG87" s="98">
        <f t="shared" si="54"/>
        <v>2.6931086935054331</v>
      </c>
      <c r="AH87" s="98">
        <f t="shared" si="55"/>
        <v>13.073837365953548</v>
      </c>
      <c r="AI87" s="101">
        <f t="shared" si="64"/>
        <v>15.766946059458981</v>
      </c>
      <c r="AJ87" s="100">
        <f t="shared" si="65"/>
        <v>5.9259259259259238</v>
      </c>
      <c r="AK87" s="98">
        <f t="shared" si="56"/>
        <v>12.712824482410115</v>
      </c>
      <c r="AL87" s="98">
        <f t="shared" si="57"/>
        <v>9.0666666666666664</v>
      </c>
      <c r="AM87" s="98">
        <f t="shared" si="58"/>
        <v>0.35594999999999999</v>
      </c>
      <c r="AN87" s="101">
        <f t="shared" si="66"/>
        <v>9.4226166666666664</v>
      </c>
      <c r="AO87" s="100">
        <f t="shared" si="59"/>
        <v>0.74490240458660906</v>
      </c>
      <c r="AP87" s="98">
        <f t="shared" si="60"/>
        <v>0.13702500000000001</v>
      </c>
      <c r="AQ87" s="101">
        <f t="shared" si="61"/>
        <v>9.8999999999999991E-3</v>
      </c>
      <c r="AR87" s="100">
        <f t="shared" si="67"/>
        <v>26.89681583987511</v>
      </c>
      <c r="AS87" s="98">
        <f t="shared" si="68"/>
        <v>533.33333333333326</v>
      </c>
      <c r="AT87" s="101">
        <f t="shared" si="69"/>
        <v>95.198970301835843</v>
      </c>
    </row>
    <row r="88" spans="17:46" x14ac:dyDescent="0.25">
      <c r="Q88" s="32">
        <v>81</v>
      </c>
      <c r="R88" s="100">
        <f t="shared" si="45"/>
        <v>100</v>
      </c>
      <c r="S88" s="98">
        <f t="shared" si="46"/>
        <v>5.4</v>
      </c>
      <c r="T88" s="98">
        <f t="shared" si="47"/>
        <v>22</v>
      </c>
      <c r="U88" s="101">
        <f t="shared" si="48"/>
        <v>27.272727272727273</v>
      </c>
      <c r="V88" s="100">
        <f t="shared" si="49"/>
        <v>2</v>
      </c>
      <c r="W88" s="98">
        <f t="shared" si="50"/>
        <v>0.78</v>
      </c>
      <c r="X88" s="101">
        <f t="shared" si="51"/>
        <v>0.21999999999999997</v>
      </c>
      <c r="Y88" s="100">
        <f t="shared" si="52"/>
        <v>10.43161094224924</v>
      </c>
      <c r="Z88" s="98">
        <f t="shared" si="71"/>
        <v>32.488532743851891</v>
      </c>
      <c r="AA88" s="98">
        <f t="shared" si="72"/>
        <v>27.438474115678638</v>
      </c>
      <c r="AB88" s="98">
        <v>0</v>
      </c>
      <c r="AC88" s="98">
        <f t="shared" si="53"/>
        <v>0.83568554659441097</v>
      </c>
      <c r="AD88" s="101">
        <f t="shared" si="62"/>
        <v>0.83568554659441097</v>
      </c>
      <c r="AE88" s="100">
        <f t="shared" si="70"/>
        <v>21.272727272727273</v>
      </c>
      <c r="AF88" s="98">
        <f t="shared" si="63"/>
        <v>24.233004192660015</v>
      </c>
      <c r="AG88" s="98">
        <f t="shared" si="54"/>
        <v>2.7600209133469464</v>
      </c>
      <c r="AH88" s="98">
        <f t="shared" si="55"/>
        <v>13.237260333027972</v>
      </c>
      <c r="AI88" s="101">
        <f t="shared" si="64"/>
        <v>15.997281246374918</v>
      </c>
      <c r="AJ88" s="100">
        <f t="shared" si="65"/>
        <v>5.9999999999999991</v>
      </c>
      <c r="AK88" s="98">
        <f t="shared" si="56"/>
        <v>12.869785141768629</v>
      </c>
      <c r="AL88" s="98">
        <f t="shared" si="57"/>
        <v>9.18</v>
      </c>
      <c r="AM88" s="98">
        <f t="shared" si="58"/>
        <v>0.35594999999999999</v>
      </c>
      <c r="AN88" s="101">
        <f t="shared" si="66"/>
        <v>9.5359499999999997</v>
      </c>
      <c r="AO88" s="100">
        <f t="shared" si="59"/>
        <v>0.76341003986192124</v>
      </c>
      <c r="AP88" s="98">
        <f t="shared" si="60"/>
        <v>0.13702500000000001</v>
      </c>
      <c r="AQ88" s="101">
        <f t="shared" si="61"/>
        <v>9.8999999999999991E-3</v>
      </c>
      <c r="AR88" s="100">
        <f t="shared" si="67"/>
        <v>27.27925183283125</v>
      </c>
      <c r="AS88" s="98">
        <f t="shared" si="68"/>
        <v>540</v>
      </c>
      <c r="AT88" s="101">
        <f t="shared" si="69"/>
        <v>95.191212838351774</v>
      </c>
    </row>
    <row r="89" spans="17:46" x14ac:dyDescent="0.25">
      <c r="Q89" s="32">
        <v>82</v>
      </c>
      <c r="R89" s="100">
        <f t="shared" si="45"/>
        <v>100</v>
      </c>
      <c r="S89" s="98">
        <f t="shared" si="46"/>
        <v>5.4666666666666668</v>
      </c>
      <c r="T89" s="98">
        <f t="shared" si="47"/>
        <v>22</v>
      </c>
      <c r="U89" s="101">
        <f t="shared" si="48"/>
        <v>27.609427609427605</v>
      </c>
      <c r="V89" s="100">
        <f t="shared" si="49"/>
        <v>2</v>
      </c>
      <c r="W89" s="98">
        <f t="shared" si="50"/>
        <v>0.78</v>
      </c>
      <c r="X89" s="101">
        <f t="shared" si="51"/>
        <v>0.21999999999999997</v>
      </c>
      <c r="Y89" s="100">
        <f t="shared" si="52"/>
        <v>10.43161094224924</v>
      </c>
      <c r="Z89" s="98">
        <f t="shared" si="71"/>
        <v>32.825233080552223</v>
      </c>
      <c r="AA89" s="98">
        <f t="shared" si="72"/>
        <v>27.773165138752692</v>
      </c>
      <c r="AB89" s="98">
        <v>0</v>
      </c>
      <c r="AC89" s="98">
        <f t="shared" si="53"/>
        <v>0.856197059025115</v>
      </c>
      <c r="AD89" s="101">
        <f t="shared" si="62"/>
        <v>0.856197059025115</v>
      </c>
      <c r="AE89" s="100">
        <f t="shared" si="70"/>
        <v>21.535353535353533</v>
      </c>
      <c r="AF89" s="98">
        <f t="shared" si="63"/>
        <v>24.528595300649684</v>
      </c>
      <c r="AG89" s="98">
        <f t="shared" si="54"/>
        <v>2.8277643408883528</v>
      </c>
      <c r="AH89" s="98">
        <f t="shared" si="55"/>
        <v>13.40068330010239</v>
      </c>
      <c r="AI89" s="101">
        <f t="shared" si="64"/>
        <v>16.228447640990744</v>
      </c>
      <c r="AJ89" s="100">
        <f t="shared" si="65"/>
        <v>6.0740740740740726</v>
      </c>
      <c r="AK89" s="98">
        <f t="shared" si="56"/>
        <v>13.026769146698427</v>
      </c>
      <c r="AL89" s="98">
        <f t="shared" si="57"/>
        <v>9.293333333333333</v>
      </c>
      <c r="AM89" s="98">
        <f t="shared" si="58"/>
        <v>0.35594999999999999</v>
      </c>
      <c r="AN89" s="101">
        <f t="shared" si="66"/>
        <v>9.649283333333333</v>
      </c>
      <c r="AO89" s="100">
        <f t="shared" si="59"/>
        <v>0.78214758364996995</v>
      </c>
      <c r="AP89" s="98">
        <f t="shared" si="60"/>
        <v>0.13702500000000001</v>
      </c>
      <c r="AQ89" s="101">
        <f t="shared" si="61"/>
        <v>9.8999999999999991E-3</v>
      </c>
      <c r="AR89" s="100">
        <f t="shared" si="67"/>
        <v>27.66300061699916</v>
      </c>
      <c r="AS89" s="98">
        <f t="shared" si="68"/>
        <v>546.66666666666663</v>
      </c>
      <c r="AT89" s="101">
        <f t="shared" si="69"/>
        <v>95.183428230717496</v>
      </c>
    </row>
    <row r="90" spans="17:46" x14ac:dyDescent="0.25">
      <c r="Q90" s="32">
        <v>83</v>
      </c>
      <c r="R90" s="100">
        <f t="shared" si="45"/>
        <v>100</v>
      </c>
      <c r="S90" s="98">
        <f t="shared" si="46"/>
        <v>5.5333333333333332</v>
      </c>
      <c r="T90" s="98">
        <f t="shared" si="47"/>
        <v>22</v>
      </c>
      <c r="U90" s="101">
        <f t="shared" si="48"/>
        <v>27.946127946127948</v>
      </c>
      <c r="V90" s="100">
        <f t="shared" si="49"/>
        <v>2</v>
      </c>
      <c r="W90" s="98">
        <f t="shared" si="50"/>
        <v>0.78</v>
      </c>
      <c r="X90" s="101">
        <f t="shared" si="51"/>
        <v>0.21999999999999997</v>
      </c>
      <c r="Y90" s="100">
        <f t="shared" si="52"/>
        <v>10.43161094224924</v>
      </c>
      <c r="Z90" s="98">
        <f t="shared" si="71"/>
        <v>33.16193341725257</v>
      </c>
      <c r="AA90" s="98">
        <f t="shared" si="72"/>
        <v>28.107904156759144</v>
      </c>
      <c r="AB90" s="98">
        <v>0</v>
      </c>
      <c r="AC90" s="98">
        <f t="shared" si="53"/>
        <v>0.87696024645496939</v>
      </c>
      <c r="AD90" s="101">
        <f t="shared" si="62"/>
        <v>0.87696024645496939</v>
      </c>
      <c r="AE90" s="100">
        <f t="shared" si="70"/>
        <v>21.797979797979799</v>
      </c>
      <c r="AF90" s="98">
        <f t="shared" si="63"/>
        <v>24.824228796615923</v>
      </c>
      <c r="AG90" s="98">
        <f t="shared" si="54"/>
        <v>2.8963389761296559</v>
      </c>
      <c r="AH90" s="98">
        <f t="shared" si="55"/>
        <v>13.564106267176811</v>
      </c>
      <c r="AI90" s="101">
        <f t="shared" si="64"/>
        <v>16.460445243306467</v>
      </c>
      <c r="AJ90" s="100">
        <f t="shared" si="65"/>
        <v>6.1481481481481479</v>
      </c>
      <c r="AK90" s="98">
        <f t="shared" si="56"/>
        <v>13.183775663246957</v>
      </c>
      <c r="AL90" s="98">
        <f t="shared" si="57"/>
        <v>9.4066666666666663</v>
      </c>
      <c r="AM90" s="98">
        <f t="shared" si="58"/>
        <v>0.35594999999999999</v>
      </c>
      <c r="AN90" s="101">
        <f t="shared" si="66"/>
        <v>9.7626166666666663</v>
      </c>
      <c r="AO90" s="100">
        <f t="shared" si="59"/>
        <v>0.80111503595075573</v>
      </c>
      <c r="AP90" s="98">
        <f t="shared" si="60"/>
        <v>0.13702500000000001</v>
      </c>
      <c r="AQ90" s="101">
        <f t="shared" si="61"/>
        <v>9.8999999999999991E-3</v>
      </c>
      <c r="AR90" s="100">
        <f t="shared" si="67"/>
        <v>28.048062192378861</v>
      </c>
      <c r="AS90" s="98">
        <f t="shared" si="68"/>
        <v>553.33333333333337</v>
      </c>
      <c r="AT90" s="101">
        <f t="shared" si="69"/>
        <v>95.17561751919898</v>
      </c>
    </row>
    <row r="91" spans="17:46" x14ac:dyDescent="0.25">
      <c r="Q91" s="32">
        <v>84</v>
      </c>
      <c r="R91" s="100">
        <f t="shared" si="45"/>
        <v>100</v>
      </c>
      <c r="S91" s="98">
        <f t="shared" si="46"/>
        <v>5.6</v>
      </c>
      <c r="T91" s="98">
        <f t="shared" si="47"/>
        <v>22</v>
      </c>
      <c r="U91" s="101">
        <f t="shared" si="48"/>
        <v>28.28282828282828</v>
      </c>
      <c r="V91" s="100">
        <f t="shared" si="49"/>
        <v>2</v>
      </c>
      <c r="W91" s="98">
        <f t="shared" si="50"/>
        <v>0.78</v>
      </c>
      <c r="X91" s="101">
        <f t="shared" si="51"/>
        <v>0.21999999999999997</v>
      </c>
      <c r="Y91" s="100">
        <f t="shared" si="52"/>
        <v>10.43161094224924</v>
      </c>
      <c r="Z91" s="98">
        <f t="shared" si="71"/>
        <v>33.498633753952902</v>
      </c>
      <c r="AA91" s="98">
        <f t="shared" si="72"/>
        <v>28.442689475156104</v>
      </c>
      <c r="AB91" s="98">
        <v>0</v>
      </c>
      <c r="AC91" s="98">
        <f t="shared" si="53"/>
        <v>0.89797510888397314</v>
      </c>
      <c r="AD91" s="101">
        <f t="shared" si="62"/>
        <v>0.89797510888397314</v>
      </c>
      <c r="AE91" s="100">
        <f t="shared" si="70"/>
        <v>22.060606060606059</v>
      </c>
      <c r="AF91" s="98">
        <f t="shared" si="63"/>
        <v>25.119903183979861</v>
      </c>
      <c r="AG91" s="98">
        <f t="shared" si="54"/>
        <v>2.9657448190708515</v>
      </c>
      <c r="AH91" s="98">
        <f t="shared" si="55"/>
        <v>13.727529234251229</v>
      </c>
      <c r="AI91" s="101">
        <f t="shared" si="64"/>
        <v>16.693274053322082</v>
      </c>
      <c r="AJ91" s="100">
        <f t="shared" si="65"/>
        <v>6.2222222222222205</v>
      </c>
      <c r="AK91" s="98">
        <f t="shared" si="56"/>
        <v>13.340803896603617</v>
      </c>
      <c r="AL91" s="98">
        <f t="shared" si="57"/>
        <v>9.52</v>
      </c>
      <c r="AM91" s="98">
        <f t="shared" si="58"/>
        <v>0.35594999999999999</v>
      </c>
      <c r="AN91" s="101">
        <f t="shared" si="66"/>
        <v>9.8759499999999996</v>
      </c>
      <c r="AO91" s="100">
        <f t="shared" si="59"/>
        <v>0.82031239676427803</v>
      </c>
      <c r="AP91" s="98">
        <f t="shared" si="60"/>
        <v>0.13702500000000001</v>
      </c>
      <c r="AQ91" s="101">
        <f t="shared" si="61"/>
        <v>9.8999999999999991E-3</v>
      </c>
      <c r="AR91" s="100">
        <f t="shared" si="67"/>
        <v>28.434436558970333</v>
      </c>
      <c r="AS91" s="98">
        <f t="shared" si="68"/>
        <v>560</v>
      </c>
      <c r="AT91" s="101">
        <f t="shared" si="69"/>
        <v>95.167781694550641</v>
      </c>
    </row>
    <row r="92" spans="17:46" x14ac:dyDescent="0.25">
      <c r="Q92" s="32">
        <v>85</v>
      </c>
      <c r="R92" s="100">
        <f t="shared" si="45"/>
        <v>100</v>
      </c>
      <c r="S92" s="98">
        <f t="shared" si="46"/>
        <v>5.666666666666667</v>
      </c>
      <c r="T92" s="98">
        <f t="shared" si="47"/>
        <v>22</v>
      </c>
      <c r="U92" s="101">
        <f t="shared" si="48"/>
        <v>28.619528619528623</v>
      </c>
      <c r="V92" s="100">
        <f t="shared" si="49"/>
        <v>2</v>
      </c>
      <c r="W92" s="98">
        <f t="shared" si="50"/>
        <v>0.78</v>
      </c>
      <c r="X92" s="101">
        <f t="shared" si="51"/>
        <v>0.21999999999999997</v>
      </c>
      <c r="Y92" s="100">
        <f t="shared" si="52"/>
        <v>10.43161094224924</v>
      </c>
      <c r="Z92" s="98">
        <f t="shared" si="71"/>
        <v>33.835334090653241</v>
      </c>
      <c r="AA92" s="98">
        <f t="shared" si="72"/>
        <v>28.777519478026985</v>
      </c>
      <c r="AB92" s="98">
        <v>0</v>
      </c>
      <c r="AC92" s="98">
        <f t="shared" si="53"/>
        <v>0.91924164631212701</v>
      </c>
      <c r="AD92" s="101">
        <f t="shared" si="62"/>
        <v>0.91924164631212701</v>
      </c>
      <c r="AE92" s="100">
        <f t="shared" si="70"/>
        <v>22.323232323232325</v>
      </c>
      <c r="AF92" s="98">
        <f t="shared" si="63"/>
        <v>25.415617035602605</v>
      </c>
      <c r="AG92" s="98">
        <f t="shared" si="54"/>
        <v>3.0359818697119429</v>
      </c>
      <c r="AH92" s="98">
        <f t="shared" si="55"/>
        <v>13.89095220132565</v>
      </c>
      <c r="AI92" s="101">
        <f t="shared" si="64"/>
        <v>16.926934071037593</v>
      </c>
      <c r="AJ92" s="100">
        <f t="shared" si="65"/>
        <v>6.2962962962962967</v>
      </c>
      <c r="AK92" s="98">
        <f t="shared" si="56"/>
        <v>13.497853088836345</v>
      </c>
      <c r="AL92" s="98">
        <f t="shared" si="57"/>
        <v>9.6333333333333329</v>
      </c>
      <c r="AM92" s="98">
        <f t="shared" si="58"/>
        <v>0.35594999999999999</v>
      </c>
      <c r="AN92" s="101">
        <f t="shared" si="66"/>
        <v>9.9892833333333328</v>
      </c>
      <c r="AO92" s="100">
        <f t="shared" si="59"/>
        <v>0.8397396660905373</v>
      </c>
      <c r="AP92" s="98">
        <f t="shared" si="60"/>
        <v>0.13702500000000001</v>
      </c>
      <c r="AQ92" s="101">
        <f t="shared" si="61"/>
        <v>9.8999999999999991E-3</v>
      </c>
      <c r="AR92" s="100">
        <f t="shared" si="67"/>
        <v>28.822123716773589</v>
      </c>
      <c r="AS92" s="98">
        <f t="shared" si="68"/>
        <v>566.66666666666674</v>
      </c>
      <c r="AT92" s="101">
        <f t="shared" si="69"/>
        <v>95.159921700924926</v>
      </c>
    </row>
    <row r="93" spans="17:46" x14ac:dyDescent="0.25">
      <c r="Q93" s="32">
        <v>86</v>
      </c>
      <c r="R93" s="100">
        <f t="shared" si="45"/>
        <v>100</v>
      </c>
      <c r="S93" s="98">
        <f t="shared" si="46"/>
        <v>5.7333333333333334</v>
      </c>
      <c r="T93" s="98">
        <f t="shared" si="47"/>
        <v>22</v>
      </c>
      <c r="U93" s="101">
        <f t="shared" si="48"/>
        <v>28.956228956228959</v>
      </c>
      <c r="V93" s="100">
        <f t="shared" si="49"/>
        <v>2</v>
      </c>
      <c r="W93" s="98">
        <f t="shared" si="50"/>
        <v>0.78</v>
      </c>
      <c r="X93" s="101">
        <f t="shared" si="51"/>
        <v>0.21999999999999997</v>
      </c>
      <c r="Y93" s="100">
        <f t="shared" si="52"/>
        <v>10.43161094224924</v>
      </c>
      <c r="Z93" s="98">
        <f t="shared" si="71"/>
        <v>34.17203442735358</v>
      </c>
      <c r="AA93" s="98">
        <f t="shared" si="72"/>
        <v>29.112392623584839</v>
      </c>
      <c r="AB93" s="98">
        <v>0</v>
      </c>
      <c r="AC93" s="98">
        <f t="shared" si="53"/>
        <v>0.94075985873943024</v>
      </c>
      <c r="AD93" s="101">
        <f t="shared" si="62"/>
        <v>0.94075985873943024</v>
      </c>
      <c r="AE93" s="100">
        <f t="shared" si="70"/>
        <v>22.585858585858588</v>
      </c>
      <c r="AF93" s="98">
        <f t="shared" si="63"/>
        <v>25.711368989814805</v>
      </c>
      <c r="AG93" s="98">
        <f t="shared" si="54"/>
        <v>3.1070501280529288</v>
      </c>
      <c r="AH93" s="98">
        <f t="shared" si="55"/>
        <v>14.054375168400069</v>
      </c>
      <c r="AI93" s="101">
        <f t="shared" si="64"/>
        <v>17.161425296452997</v>
      </c>
      <c r="AJ93" s="100">
        <f t="shared" si="65"/>
        <v>6.3703703703703702</v>
      </c>
      <c r="AK93" s="98">
        <f t="shared" si="56"/>
        <v>13.654922516782968</v>
      </c>
      <c r="AL93" s="98">
        <f t="shared" si="57"/>
        <v>9.7466666666666661</v>
      </c>
      <c r="AM93" s="98">
        <f t="shared" si="58"/>
        <v>0.35594999999999999</v>
      </c>
      <c r="AN93" s="101">
        <f t="shared" si="66"/>
        <v>10.102616666666666</v>
      </c>
      <c r="AO93" s="100">
        <f t="shared" si="59"/>
        <v>0.85939684392953353</v>
      </c>
      <c r="AP93" s="98">
        <f t="shared" si="60"/>
        <v>0.13702500000000001</v>
      </c>
      <c r="AQ93" s="101">
        <f t="shared" si="61"/>
        <v>9.8999999999999991E-3</v>
      </c>
      <c r="AR93" s="100">
        <f t="shared" si="67"/>
        <v>29.211123665788627</v>
      </c>
      <c r="AS93" s="98">
        <f t="shared" si="68"/>
        <v>573.33333333333337</v>
      </c>
      <c r="AT93" s="101">
        <f t="shared" si="69"/>
        <v>95.152038438579297</v>
      </c>
    </row>
    <row r="94" spans="17:46" x14ac:dyDescent="0.25">
      <c r="Q94" s="32">
        <v>87</v>
      </c>
      <c r="R94" s="100">
        <f t="shared" si="45"/>
        <v>100</v>
      </c>
      <c r="S94" s="98">
        <f t="shared" si="46"/>
        <v>5.8</v>
      </c>
      <c r="T94" s="98">
        <f t="shared" si="47"/>
        <v>22</v>
      </c>
      <c r="U94" s="101">
        <f t="shared" si="48"/>
        <v>29.292929292929291</v>
      </c>
      <c r="V94" s="100">
        <f t="shared" si="49"/>
        <v>2</v>
      </c>
      <c r="W94" s="98">
        <f t="shared" si="50"/>
        <v>0.78</v>
      </c>
      <c r="X94" s="101">
        <f t="shared" si="51"/>
        <v>0.21999999999999997</v>
      </c>
      <c r="Y94" s="100">
        <f t="shared" si="52"/>
        <v>10.43161094224924</v>
      </c>
      <c r="Z94" s="98">
        <f t="shared" si="71"/>
        <v>34.508734764053912</v>
      </c>
      <c r="AA94" s="98">
        <f t="shared" si="72"/>
        <v>29.447307439980985</v>
      </c>
      <c r="AB94" s="98">
        <v>0</v>
      </c>
      <c r="AC94" s="98">
        <f t="shared" si="53"/>
        <v>0.96252974616588316</v>
      </c>
      <c r="AD94" s="101">
        <f t="shared" si="62"/>
        <v>0.96252974616588316</v>
      </c>
      <c r="AE94" s="100">
        <f t="shared" si="70"/>
        <v>22.848484848484848</v>
      </c>
      <c r="AF94" s="98">
        <f t="shared" si="63"/>
        <v>26.007157746714892</v>
      </c>
      <c r="AG94" s="98">
        <f t="shared" si="54"/>
        <v>3.1789495940938086</v>
      </c>
      <c r="AH94" s="98">
        <f t="shared" si="55"/>
        <v>14.217798135474485</v>
      </c>
      <c r="AI94" s="101">
        <f t="shared" si="64"/>
        <v>17.396747729568293</v>
      </c>
      <c r="AJ94" s="100">
        <f t="shared" si="65"/>
        <v>6.4444444444444429</v>
      </c>
      <c r="AK94" s="98">
        <f t="shared" si="56"/>
        <v>13.812011490085252</v>
      </c>
      <c r="AL94" s="98">
        <f t="shared" si="57"/>
        <v>9.86</v>
      </c>
      <c r="AM94" s="98">
        <f t="shared" si="58"/>
        <v>0.35594999999999999</v>
      </c>
      <c r="AN94" s="101">
        <f t="shared" si="66"/>
        <v>10.215949999999999</v>
      </c>
      <c r="AO94" s="100">
        <f t="shared" si="59"/>
        <v>0.87928393028126606</v>
      </c>
      <c r="AP94" s="98">
        <f t="shared" si="60"/>
        <v>0.13702500000000001</v>
      </c>
      <c r="AQ94" s="101">
        <f t="shared" si="61"/>
        <v>9.8999999999999991E-3</v>
      </c>
      <c r="AR94" s="100">
        <f t="shared" si="67"/>
        <v>29.601436406015441</v>
      </c>
      <c r="AS94" s="98">
        <f t="shared" si="68"/>
        <v>580</v>
      </c>
      <c r="AT94" s="101">
        <f t="shared" si="69"/>
        <v>95.144132766396595</v>
      </c>
    </row>
    <row r="95" spans="17:46" x14ac:dyDescent="0.25">
      <c r="Q95" s="32">
        <v>88</v>
      </c>
      <c r="R95" s="100">
        <f t="shared" si="45"/>
        <v>100</v>
      </c>
      <c r="S95" s="98">
        <f t="shared" si="46"/>
        <v>5.8666666666666663</v>
      </c>
      <c r="T95" s="98">
        <f t="shared" si="47"/>
        <v>22</v>
      </c>
      <c r="U95" s="101">
        <f t="shared" si="48"/>
        <v>29.629629629629626</v>
      </c>
      <c r="V95" s="100">
        <f t="shared" si="49"/>
        <v>2</v>
      </c>
      <c r="W95" s="98">
        <f t="shared" si="50"/>
        <v>0.78</v>
      </c>
      <c r="X95" s="101">
        <f t="shared" si="51"/>
        <v>0.21999999999999997</v>
      </c>
      <c r="Y95" s="100">
        <f t="shared" si="52"/>
        <v>10.43161094224924</v>
      </c>
      <c r="Z95" s="98">
        <f t="shared" si="71"/>
        <v>34.845435100754244</v>
      </c>
      <c r="AA95" s="98">
        <f t="shared" si="72"/>
        <v>29.782262521394014</v>
      </c>
      <c r="AB95" s="98">
        <v>0</v>
      </c>
      <c r="AC95" s="98">
        <f t="shared" si="53"/>
        <v>0.98455130859148599</v>
      </c>
      <c r="AD95" s="101">
        <f t="shared" si="62"/>
        <v>0.98455130859148599</v>
      </c>
      <c r="AE95" s="100">
        <f t="shared" si="70"/>
        <v>23.111111111111111</v>
      </c>
      <c r="AF95" s="98">
        <f t="shared" si="63"/>
        <v>26.302982064715014</v>
      </c>
      <c r="AG95" s="98">
        <f t="shared" si="54"/>
        <v>3.2516802678345829</v>
      </c>
      <c r="AH95" s="98">
        <f t="shared" si="55"/>
        <v>14.381221102548905</v>
      </c>
      <c r="AI95" s="101">
        <f t="shared" si="64"/>
        <v>17.632901370383486</v>
      </c>
      <c r="AJ95" s="100">
        <f t="shared" si="65"/>
        <v>6.5185185185185173</v>
      </c>
      <c r="AK95" s="98">
        <f t="shared" si="56"/>
        <v>13.969119349354512</v>
      </c>
      <c r="AL95" s="98">
        <f t="shared" si="57"/>
        <v>9.9733333333333327</v>
      </c>
      <c r="AM95" s="98">
        <f t="shared" si="58"/>
        <v>0.35594999999999999</v>
      </c>
      <c r="AN95" s="101">
        <f t="shared" si="66"/>
        <v>10.329283333333333</v>
      </c>
      <c r="AO95" s="100">
        <f t="shared" si="59"/>
        <v>0.89940092514573555</v>
      </c>
      <c r="AP95" s="98">
        <f t="shared" si="60"/>
        <v>0.13702500000000001</v>
      </c>
      <c r="AQ95" s="101">
        <f t="shared" si="61"/>
        <v>9.8999999999999991E-3</v>
      </c>
      <c r="AR95" s="100">
        <f t="shared" si="67"/>
        <v>29.993061937454041</v>
      </c>
      <c r="AS95" s="98">
        <f t="shared" si="68"/>
        <v>586.66666666666663</v>
      </c>
      <c r="AT95" s="101">
        <f t="shared" si="69"/>
        <v>95.1362055042338</v>
      </c>
    </row>
    <row r="96" spans="17:46" x14ac:dyDescent="0.25">
      <c r="Q96" s="32">
        <v>89</v>
      </c>
      <c r="R96" s="100">
        <f t="shared" si="45"/>
        <v>100</v>
      </c>
      <c r="S96" s="98">
        <f t="shared" si="46"/>
        <v>5.9333333333333336</v>
      </c>
      <c r="T96" s="98">
        <f t="shared" si="47"/>
        <v>22</v>
      </c>
      <c r="U96" s="101">
        <f t="shared" si="48"/>
        <v>29.966329966329969</v>
      </c>
      <c r="V96" s="100">
        <f t="shared" si="49"/>
        <v>2</v>
      </c>
      <c r="W96" s="98">
        <f t="shared" si="50"/>
        <v>0.78</v>
      </c>
      <c r="X96" s="101">
        <f t="shared" si="51"/>
        <v>0.21999999999999997</v>
      </c>
      <c r="Y96" s="100">
        <f t="shared" si="52"/>
        <v>10.43161094224924</v>
      </c>
      <c r="Z96" s="98">
        <f t="shared" si="71"/>
        <v>35.18213543745459</v>
      </c>
      <c r="AA96" s="98">
        <f t="shared" si="72"/>
        <v>30.11725652437768</v>
      </c>
      <c r="AB96" s="98">
        <v>0</v>
      </c>
      <c r="AC96" s="98">
        <f t="shared" si="53"/>
        <v>1.0068245460162388</v>
      </c>
      <c r="AD96" s="101">
        <f t="shared" si="62"/>
        <v>1.0068245460162388</v>
      </c>
      <c r="AE96" s="100">
        <f t="shared" si="70"/>
        <v>23.373737373737377</v>
      </c>
      <c r="AF96" s="98">
        <f t="shared" si="63"/>
        <v>26.598840757315585</v>
      </c>
      <c r="AG96" s="98">
        <f t="shared" si="54"/>
        <v>3.3252421492752542</v>
      </c>
      <c r="AH96" s="98">
        <f t="shared" si="55"/>
        <v>14.544644069623326</v>
      </c>
      <c r="AI96" s="101">
        <f t="shared" si="64"/>
        <v>17.869886218898579</v>
      </c>
      <c r="AJ96" s="100">
        <f t="shared" si="65"/>
        <v>6.5925925925925926</v>
      </c>
      <c r="AK96" s="98">
        <f t="shared" si="56"/>
        <v>14.126245464458608</v>
      </c>
      <c r="AL96" s="98">
        <f t="shared" si="57"/>
        <v>10.086666666666666</v>
      </c>
      <c r="AM96" s="98">
        <f t="shared" si="58"/>
        <v>0.35594999999999999</v>
      </c>
      <c r="AN96" s="101">
        <f t="shared" si="66"/>
        <v>10.442616666666666</v>
      </c>
      <c r="AO96" s="100">
        <f t="shared" si="59"/>
        <v>0.91974782852294257</v>
      </c>
      <c r="AP96" s="98">
        <f t="shared" si="60"/>
        <v>0.13702500000000001</v>
      </c>
      <c r="AQ96" s="101">
        <f t="shared" si="61"/>
        <v>9.8999999999999991E-3</v>
      </c>
      <c r="AR96" s="100">
        <f t="shared" si="67"/>
        <v>30.386000260104428</v>
      </c>
      <c r="AS96" s="98">
        <f t="shared" si="68"/>
        <v>593.33333333333337</v>
      </c>
      <c r="AT96" s="101">
        <f t="shared" si="69"/>
        <v>95.128257435112459</v>
      </c>
    </row>
    <row r="97" spans="17:46" x14ac:dyDescent="0.25">
      <c r="Q97" s="32">
        <v>90</v>
      </c>
      <c r="R97" s="100">
        <f t="shared" si="45"/>
        <v>100</v>
      </c>
      <c r="S97" s="98">
        <f t="shared" si="46"/>
        <v>6</v>
      </c>
      <c r="T97" s="98">
        <f t="shared" si="47"/>
        <v>22</v>
      </c>
      <c r="U97" s="101">
        <f t="shared" si="48"/>
        <v>30.303030303030301</v>
      </c>
      <c r="V97" s="100">
        <f t="shared" si="49"/>
        <v>2</v>
      </c>
      <c r="W97" s="98">
        <f t="shared" si="50"/>
        <v>0.78</v>
      </c>
      <c r="X97" s="101">
        <f t="shared" si="51"/>
        <v>0.21999999999999997</v>
      </c>
      <c r="Y97" s="100">
        <f t="shared" si="52"/>
        <v>10.43161094224924</v>
      </c>
      <c r="Z97" s="98">
        <f t="shared" si="71"/>
        <v>35.518835774154923</v>
      </c>
      <c r="AA97" s="98">
        <f t="shared" si="72"/>
        <v>30.452288164447957</v>
      </c>
      <c r="AB97" s="98">
        <v>0</v>
      </c>
      <c r="AC97" s="98">
        <f t="shared" si="53"/>
        <v>1.0293494584401406</v>
      </c>
      <c r="AD97" s="101">
        <f t="shared" si="62"/>
        <v>1.0293494584401406</v>
      </c>
      <c r="AE97" s="100">
        <f t="shared" si="70"/>
        <v>23.636363636363637</v>
      </c>
      <c r="AF97" s="98">
        <f t="shared" si="63"/>
        <v>26.894732690091015</v>
      </c>
      <c r="AG97" s="98">
        <f t="shared" si="54"/>
        <v>3.3996352384158168</v>
      </c>
      <c r="AH97" s="98">
        <f t="shared" si="55"/>
        <v>14.708067036697743</v>
      </c>
      <c r="AI97" s="101">
        <f t="shared" si="64"/>
        <v>18.10770227511356</v>
      </c>
      <c r="AJ97" s="100">
        <f t="shared" si="65"/>
        <v>6.6666666666666652</v>
      </c>
      <c r="AK97" s="98">
        <f t="shared" si="56"/>
        <v>14.283389232921119</v>
      </c>
      <c r="AL97" s="98">
        <f t="shared" si="57"/>
        <v>10.199999999999999</v>
      </c>
      <c r="AM97" s="98">
        <f t="shared" si="58"/>
        <v>0.35594999999999999</v>
      </c>
      <c r="AN97" s="101">
        <f t="shared" si="66"/>
        <v>10.555949999999999</v>
      </c>
      <c r="AO97" s="100">
        <f t="shared" si="59"/>
        <v>0.94032464041288533</v>
      </c>
      <c r="AP97" s="98">
        <f t="shared" si="60"/>
        <v>0.13702500000000001</v>
      </c>
      <c r="AQ97" s="101">
        <f t="shared" si="61"/>
        <v>9.8999999999999991E-3</v>
      </c>
      <c r="AR97" s="100">
        <f t="shared" si="67"/>
        <v>30.780251373966586</v>
      </c>
      <c r="AS97" s="98">
        <f t="shared" si="68"/>
        <v>600</v>
      </c>
      <c r="AT97" s="101">
        <f t="shared" si="69"/>
        <v>95.120289307263334</v>
      </c>
    </row>
    <row r="98" spans="17:46" x14ac:dyDescent="0.25">
      <c r="Q98" s="32">
        <v>91</v>
      </c>
      <c r="R98" s="100">
        <f t="shared" si="45"/>
        <v>100</v>
      </c>
      <c r="S98" s="98">
        <f t="shared" si="46"/>
        <v>6.0666666666666664</v>
      </c>
      <c r="T98" s="98">
        <f t="shared" si="47"/>
        <v>22</v>
      </c>
      <c r="U98" s="101">
        <f t="shared" si="48"/>
        <v>30.639730639730637</v>
      </c>
      <c r="V98" s="100">
        <f t="shared" si="49"/>
        <v>2</v>
      </c>
      <c r="W98" s="98">
        <f t="shared" si="50"/>
        <v>0.78</v>
      </c>
      <c r="X98" s="101">
        <f t="shared" si="51"/>
        <v>0.21999999999999997</v>
      </c>
      <c r="Y98" s="100">
        <f t="shared" si="52"/>
        <v>10.43161094224924</v>
      </c>
      <c r="Z98" s="98">
        <f t="shared" si="71"/>
        <v>35.855536110855255</v>
      </c>
      <c r="AA98" s="98">
        <f t="shared" si="72"/>
        <v>30.78735621289124</v>
      </c>
      <c r="AB98" s="98">
        <v>0</v>
      </c>
      <c r="AC98" s="98">
        <f t="shared" si="53"/>
        <v>1.0521260458631927</v>
      </c>
      <c r="AD98" s="101">
        <f t="shared" si="62"/>
        <v>1.0521260458631927</v>
      </c>
      <c r="AE98" s="100">
        <f t="shared" si="70"/>
        <v>23.898989898989896</v>
      </c>
      <c r="AF98" s="98">
        <f t="shared" si="63"/>
        <v>27.190656777870831</v>
      </c>
      <c r="AG98" s="98">
        <f t="shared" si="54"/>
        <v>3.474859535256273</v>
      </c>
      <c r="AH98" s="98">
        <f t="shared" si="55"/>
        <v>14.871490003772163</v>
      </c>
      <c r="AI98" s="101">
        <f t="shared" si="64"/>
        <v>18.346349539028434</v>
      </c>
      <c r="AJ98" s="100">
        <f t="shared" si="65"/>
        <v>6.7407407407407396</v>
      </c>
      <c r="AK98" s="98">
        <f t="shared" si="56"/>
        <v>14.440550078424282</v>
      </c>
      <c r="AL98" s="98">
        <f t="shared" si="57"/>
        <v>10.313333333333333</v>
      </c>
      <c r="AM98" s="98">
        <f t="shared" si="58"/>
        <v>0.35594999999999999</v>
      </c>
      <c r="AN98" s="101">
        <f t="shared" si="66"/>
        <v>10.669283333333333</v>
      </c>
      <c r="AO98" s="100">
        <f t="shared" si="59"/>
        <v>0.96113136081556472</v>
      </c>
      <c r="AP98" s="98">
        <f t="shared" si="60"/>
        <v>0.13702500000000001</v>
      </c>
      <c r="AQ98" s="101">
        <f t="shared" si="61"/>
        <v>9.8999999999999991E-3</v>
      </c>
      <c r="AR98" s="100">
        <f t="shared" si="67"/>
        <v>31.175815279040524</v>
      </c>
      <c r="AS98" s="98">
        <f t="shared" si="68"/>
        <v>606.66666666666663</v>
      </c>
      <c r="AT98" s="101">
        <f t="shared" si="69"/>
        <v>95.112301836036352</v>
      </c>
    </row>
    <row r="99" spans="17:46" x14ac:dyDescent="0.25">
      <c r="Q99" s="32">
        <v>92</v>
      </c>
      <c r="R99" s="100">
        <f t="shared" si="45"/>
        <v>100</v>
      </c>
      <c r="S99" s="98">
        <f t="shared" si="46"/>
        <v>6.1333333333333329</v>
      </c>
      <c r="T99" s="98">
        <f t="shared" si="47"/>
        <v>22</v>
      </c>
      <c r="U99" s="101">
        <f t="shared" si="48"/>
        <v>30.976430976430972</v>
      </c>
      <c r="V99" s="100">
        <f t="shared" si="49"/>
        <v>2</v>
      </c>
      <c r="W99" s="98">
        <f t="shared" si="50"/>
        <v>0.78</v>
      </c>
      <c r="X99" s="101">
        <f t="shared" si="51"/>
        <v>0.21999999999999997</v>
      </c>
      <c r="Y99" s="100">
        <f t="shared" si="52"/>
        <v>10.43161094224924</v>
      </c>
      <c r="Z99" s="98">
        <f t="shared" si="71"/>
        <v>36.192236447555594</v>
      </c>
      <c r="AA99" s="98">
        <f t="shared" si="72"/>
        <v>31.122459493777107</v>
      </c>
      <c r="AB99" s="98">
        <v>0</v>
      </c>
      <c r="AC99" s="98">
        <f t="shared" si="53"/>
        <v>1.0751543082853945</v>
      </c>
      <c r="AD99" s="101">
        <f t="shared" si="62"/>
        <v>1.0751543082853945</v>
      </c>
      <c r="AE99" s="100">
        <f t="shared" si="70"/>
        <v>24.161616161616159</v>
      </c>
      <c r="AF99" s="98">
        <f t="shared" si="63"/>
        <v>27.486611982101422</v>
      </c>
      <c r="AG99" s="98">
        <f t="shared" si="54"/>
        <v>3.5509150397966271</v>
      </c>
      <c r="AH99" s="98">
        <f t="shared" si="55"/>
        <v>15.03491297084658</v>
      </c>
      <c r="AI99" s="101">
        <f t="shared" si="64"/>
        <v>18.585828010643208</v>
      </c>
      <c r="AJ99" s="100">
        <f t="shared" si="65"/>
        <v>6.8148148148148131</v>
      </c>
      <c r="AK99" s="98">
        <f t="shared" si="56"/>
        <v>14.597727449407845</v>
      </c>
      <c r="AL99" s="98">
        <f t="shared" si="57"/>
        <v>10.426666666666666</v>
      </c>
      <c r="AM99" s="98">
        <f t="shared" si="58"/>
        <v>0.35594999999999999</v>
      </c>
      <c r="AN99" s="101">
        <f t="shared" si="66"/>
        <v>10.782616666666666</v>
      </c>
      <c r="AO99" s="100">
        <f t="shared" si="59"/>
        <v>0.98216798973098196</v>
      </c>
      <c r="AP99" s="98">
        <f t="shared" si="60"/>
        <v>0.13702500000000001</v>
      </c>
      <c r="AQ99" s="101">
        <f t="shared" si="61"/>
        <v>9.8999999999999991E-3</v>
      </c>
      <c r="AR99" s="100">
        <f t="shared" si="67"/>
        <v>31.572691975326251</v>
      </c>
      <c r="AS99" s="98">
        <f t="shared" si="68"/>
        <v>613.33333333333326</v>
      </c>
      <c r="AT99" s="101">
        <f t="shared" si="69"/>
        <v>95.104295705685928</v>
      </c>
    </row>
    <row r="100" spans="17:46" x14ac:dyDescent="0.25">
      <c r="Q100" s="32">
        <v>93</v>
      </c>
      <c r="R100" s="100">
        <f t="shared" si="45"/>
        <v>100</v>
      </c>
      <c r="S100" s="98">
        <f t="shared" si="46"/>
        <v>6.2</v>
      </c>
      <c r="T100" s="98">
        <f t="shared" si="47"/>
        <v>22</v>
      </c>
      <c r="U100" s="101">
        <f t="shared" si="48"/>
        <v>31.313131313131311</v>
      </c>
      <c r="V100" s="100">
        <f t="shared" si="49"/>
        <v>2</v>
      </c>
      <c r="W100" s="98">
        <f t="shared" si="50"/>
        <v>0.78</v>
      </c>
      <c r="X100" s="101">
        <f t="shared" si="51"/>
        <v>0.21999999999999997</v>
      </c>
      <c r="Y100" s="100">
        <f t="shared" si="52"/>
        <v>10.43161094224924</v>
      </c>
      <c r="Z100" s="98">
        <f t="shared" si="71"/>
        <v>36.528936784255933</v>
      </c>
      <c r="AA100" s="98">
        <f t="shared" si="72"/>
        <v>31.457596881160665</v>
      </c>
      <c r="AB100" s="98">
        <v>0</v>
      </c>
      <c r="AC100" s="98">
        <f t="shared" si="53"/>
        <v>1.0984342457067462</v>
      </c>
      <c r="AD100" s="101">
        <f t="shared" si="62"/>
        <v>1.0984342457067462</v>
      </c>
      <c r="AE100" s="100">
        <f t="shared" si="70"/>
        <v>24.424242424242422</v>
      </c>
      <c r="AF100" s="98">
        <f t="shared" si="63"/>
        <v>27.782597308375166</v>
      </c>
      <c r="AG100" s="98">
        <f t="shared" si="54"/>
        <v>3.6278017520368748</v>
      </c>
      <c r="AH100" s="98">
        <f t="shared" si="55"/>
        <v>15.198335937921003</v>
      </c>
      <c r="AI100" s="101">
        <f t="shared" si="64"/>
        <v>18.826137689957879</v>
      </c>
      <c r="AJ100" s="100">
        <f t="shared" si="65"/>
        <v>6.8888888888888875</v>
      </c>
      <c r="AK100" s="98">
        <f t="shared" si="56"/>
        <v>14.754920817756833</v>
      </c>
      <c r="AL100" s="98">
        <f t="shared" si="57"/>
        <v>10.54</v>
      </c>
      <c r="AM100" s="98">
        <f t="shared" si="58"/>
        <v>0.35594999999999999</v>
      </c>
      <c r="AN100" s="101">
        <f t="shared" si="66"/>
        <v>10.895949999999999</v>
      </c>
      <c r="AO100" s="100">
        <f t="shared" si="59"/>
        <v>1.0034345271591356</v>
      </c>
      <c r="AP100" s="98">
        <f t="shared" si="60"/>
        <v>0.13702500000000001</v>
      </c>
      <c r="AQ100" s="101">
        <f t="shared" si="61"/>
        <v>9.8999999999999991E-3</v>
      </c>
      <c r="AR100" s="100">
        <f t="shared" si="67"/>
        <v>31.970881462823758</v>
      </c>
      <c r="AS100" s="98">
        <f t="shared" si="68"/>
        <v>620</v>
      </c>
      <c r="AT100" s="101">
        <f t="shared" si="69"/>
        <v>95.096271571041513</v>
      </c>
    </row>
    <row r="101" spans="17:46" x14ac:dyDescent="0.25">
      <c r="Q101" s="32">
        <v>94</v>
      </c>
      <c r="R101" s="100">
        <f t="shared" si="45"/>
        <v>100</v>
      </c>
      <c r="S101" s="98">
        <f t="shared" si="46"/>
        <v>6.2666666666666666</v>
      </c>
      <c r="T101" s="98">
        <f t="shared" si="47"/>
        <v>22</v>
      </c>
      <c r="U101" s="101">
        <f t="shared" si="48"/>
        <v>31.649831649831647</v>
      </c>
      <c r="V101" s="100">
        <f t="shared" si="49"/>
        <v>2</v>
      </c>
      <c r="W101" s="98">
        <f t="shared" si="50"/>
        <v>0.78</v>
      </c>
      <c r="X101" s="101">
        <f t="shared" si="51"/>
        <v>0.21999999999999997</v>
      </c>
      <c r="Y101" s="100">
        <f t="shared" si="52"/>
        <v>10.43161094224924</v>
      </c>
      <c r="Z101" s="98">
        <f t="shared" si="71"/>
        <v>36.865637120956265</v>
      </c>
      <c r="AA101" s="98">
        <f t="shared" si="72"/>
        <v>31.792767296460521</v>
      </c>
      <c r="AB101" s="98">
        <v>0</v>
      </c>
      <c r="AC101" s="98">
        <f t="shared" si="53"/>
        <v>1.1219658581272476</v>
      </c>
      <c r="AD101" s="101">
        <f t="shared" si="62"/>
        <v>1.1219658581272476</v>
      </c>
      <c r="AE101" s="100">
        <f t="shared" si="70"/>
        <v>24.686868686868685</v>
      </c>
      <c r="AF101" s="98">
        <f t="shared" si="63"/>
        <v>28.078611804114775</v>
      </c>
      <c r="AG101" s="98">
        <f t="shared" si="54"/>
        <v>3.705519671977016</v>
      </c>
      <c r="AH101" s="98">
        <f t="shared" si="55"/>
        <v>15.361758904995423</v>
      </c>
      <c r="AI101" s="101">
        <f t="shared" si="64"/>
        <v>19.067278576972438</v>
      </c>
      <c r="AJ101" s="100">
        <f t="shared" si="65"/>
        <v>6.9629629629629619</v>
      </c>
      <c r="AK101" s="98">
        <f t="shared" si="56"/>
        <v>14.912129677571732</v>
      </c>
      <c r="AL101" s="98">
        <f t="shared" si="57"/>
        <v>10.653333333333332</v>
      </c>
      <c r="AM101" s="98">
        <f t="shared" si="58"/>
        <v>0.35594999999999999</v>
      </c>
      <c r="AN101" s="101">
        <f t="shared" si="66"/>
        <v>11.009283333333332</v>
      </c>
      <c r="AO101" s="100">
        <f t="shared" si="59"/>
        <v>1.0249309731000256</v>
      </c>
      <c r="AP101" s="98">
        <f t="shared" si="60"/>
        <v>0.13702500000000001</v>
      </c>
      <c r="AQ101" s="101">
        <f t="shared" si="61"/>
        <v>9.8999999999999991E-3</v>
      </c>
      <c r="AR101" s="100">
        <f t="shared" si="67"/>
        <v>32.370383741533047</v>
      </c>
      <c r="AS101" s="98">
        <f t="shared" si="68"/>
        <v>626.66666666666663</v>
      </c>
      <c r="AT101" s="101">
        <f t="shared" si="69"/>
        <v>95.088230059071307</v>
      </c>
    </row>
    <row r="102" spans="17:46" x14ac:dyDescent="0.25">
      <c r="Q102" s="32">
        <v>95</v>
      </c>
      <c r="R102" s="100">
        <f t="shared" si="45"/>
        <v>100</v>
      </c>
      <c r="S102" s="98">
        <f t="shared" si="46"/>
        <v>6.333333333333333</v>
      </c>
      <c r="T102" s="98">
        <f t="shared" si="47"/>
        <v>22</v>
      </c>
      <c r="U102" s="101">
        <f t="shared" si="48"/>
        <v>31.986531986531983</v>
      </c>
      <c r="V102" s="100">
        <f t="shared" si="49"/>
        <v>2</v>
      </c>
      <c r="W102" s="98">
        <f t="shared" si="50"/>
        <v>0.78</v>
      </c>
      <c r="X102" s="101">
        <f t="shared" si="51"/>
        <v>0.21999999999999997</v>
      </c>
      <c r="Y102" s="100">
        <f t="shared" si="52"/>
        <v>10.43161094224924</v>
      </c>
      <c r="Z102" s="98">
        <f t="shared" si="71"/>
        <v>37.202337457656604</v>
      </c>
      <c r="AA102" s="98">
        <f t="shared" si="72"/>
        <v>32.127969705999753</v>
      </c>
      <c r="AB102" s="98">
        <v>0</v>
      </c>
      <c r="AC102" s="98">
        <f t="shared" si="53"/>
        <v>1.145749145546898</v>
      </c>
      <c r="AD102" s="101">
        <f t="shared" si="62"/>
        <v>1.145749145546898</v>
      </c>
      <c r="AE102" s="100">
        <f t="shared" si="70"/>
        <v>24.949494949494948</v>
      </c>
      <c r="AF102" s="98">
        <f t="shared" si="63"/>
        <v>28.374654556401527</v>
      </c>
      <c r="AG102" s="98">
        <f t="shared" si="54"/>
        <v>3.7840687996170543</v>
      </c>
      <c r="AH102" s="98">
        <f t="shared" si="55"/>
        <v>15.525181872069838</v>
      </c>
      <c r="AI102" s="101">
        <f t="shared" si="64"/>
        <v>19.309250671686893</v>
      </c>
      <c r="AJ102" s="100">
        <f t="shared" si="65"/>
        <v>7.0370370370370354</v>
      </c>
      <c r="AK102" s="98">
        <f t="shared" si="56"/>
        <v>15.069353544015099</v>
      </c>
      <c r="AL102" s="98">
        <f t="shared" si="57"/>
        <v>10.766666666666666</v>
      </c>
      <c r="AM102" s="98">
        <f t="shared" si="58"/>
        <v>0.35594999999999999</v>
      </c>
      <c r="AN102" s="101">
        <f t="shared" si="66"/>
        <v>11.122616666666666</v>
      </c>
      <c r="AO102" s="100">
        <f t="shared" si="59"/>
        <v>1.0466573275536533</v>
      </c>
      <c r="AP102" s="98">
        <f t="shared" si="60"/>
        <v>0.13702500000000001</v>
      </c>
      <c r="AQ102" s="101">
        <f t="shared" si="61"/>
        <v>9.8999999999999991E-3</v>
      </c>
      <c r="AR102" s="100">
        <f t="shared" si="67"/>
        <v>32.771198811454113</v>
      </c>
      <c r="AS102" s="98">
        <f t="shared" si="68"/>
        <v>633.33333333333326</v>
      </c>
      <c r="AT102" s="101">
        <f t="shared" si="69"/>
        <v>95.080171770347462</v>
      </c>
    </row>
    <row r="103" spans="17:46" x14ac:dyDescent="0.25">
      <c r="Q103" s="32">
        <v>96</v>
      </c>
      <c r="R103" s="100">
        <f t="shared" si="45"/>
        <v>100</v>
      </c>
      <c r="S103" s="98">
        <f t="shared" ref="S103:S134" si="73">Q103*$O$12</f>
        <v>6.4</v>
      </c>
      <c r="T103" s="98">
        <f t="shared" si="47"/>
        <v>22</v>
      </c>
      <c r="U103" s="101">
        <f t="shared" ref="U103:U134" si="74">(R103*S103)/(T103*EFF_est)</f>
        <v>32.323232323232325</v>
      </c>
      <c r="V103" s="100">
        <f t="shared" ref="V103:V134" si="75">IF((S103*R103/T103)&lt;((T103*(1-(T103/R103)))/(2*Lm*Fsw)),1,2)</f>
        <v>2</v>
      </c>
      <c r="W103" s="98">
        <f t="shared" ref="W103:W134" si="76">CHOOSE(V103,SQRT((2*S103*Lm*Fsw*(R103-T103))/((T103)^2)),1-(T103/R103))</f>
        <v>0.78</v>
      </c>
      <c r="X103" s="101">
        <f t="shared" ref="X103:X134" si="77">CHOOSE(V103,(Lm*W103*Fsw)/(R103-T103),1-W103)</f>
        <v>0.21999999999999997</v>
      </c>
      <c r="Y103" s="100">
        <f t="shared" ref="Y103:Y134" si="78">(T103*W103)/(Lm*Fsw)</f>
        <v>10.43161094224924</v>
      </c>
      <c r="Z103" s="98">
        <f t="shared" si="71"/>
        <v>37.539037794356943</v>
      </c>
      <c r="AA103" s="98">
        <f t="shared" si="72"/>
        <v>32.463203118698182</v>
      </c>
      <c r="AB103" s="98">
        <v>0</v>
      </c>
      <c r="AC103" s="98">
        <f t="shared" ref="AC103:AC134" si="79">(AA103^2)*Rdcr</f>
        <v>1.1697841079656994</v>
      </c>
      <c r="AD103" s="101">
        <f t="shared" si="62"/>
        <v>1.1697841079656994</v>
      </c>
      <c r="AE103" s="100">
        <f t="shared" si="70"/>
        <v>25.212121212121215</v>
      </c>
      <c r="AF103" s="98">
        <f t="shared" si="63"/>
        <v>28.670724689937071</v>
      </c>
      <c r="AG103" s="98">
        <f t="shared" ref="AG103:AG134" si="80">(AF103^2)*RDS_on</f>
        <v>3.8634491349569857</v>
      </c>
      <c r="AH103" s="98">
        <f t="shared" ref="AH103:AH134" si="81">((R103*U103)/2)*Fsw*(tr_sw+tf_sw)</f>
        <v>15.688604839144261</v>
      </c>
      <c r="AI103" s="101">
        <f t="shared" si="64"/>
        <v>19.552053974101248</v>
      </c>
      <c r="AJ103" s="100">
        <f t="shared" si="65"/>
        <v>7.1111111111111107</v>
      </c>
      <c r="AK103" s="98">
        <f t="shared" ref="AK103:AK134" si="82">CHOOSE(V103,Z103*SQRT(X103/3),SQRT(X103*((Z103^2)+((Y103^2)/3)-(Y103*Z103))))</f>
        <v>15.226591952229105</v>
      </c>
      <c r="AL103" s="98">
        <f t="shared" ref="AL103:AL134" si="83">S103*Vd_rect</f>
        <v>10.88</v>
      </c>
      <c r="AM103" s="98">
        <f t="shared" ref="AM103:AM134" si="84">CHOOSE(V103,(R103+Vd_rect)*Qrr*Fsw,(R103+Vd_rect)*Qrr*Fsw)</f>
        <v>0.35594999999999999</v>
      </c>
      <c r="AN103" s="101">
        <f t="shared" si="66"/>
        <v>11.235950000000001</v>
      </c>
      <c r="AO103" s="100">
        <f t="shared" ref="AO103:AO134" si="85">(AF103^2)*R_cs</f>
        <v>1.0686135905200171</v>
      </c>
      <c r="AP103" s="98">
        <f t="shared" ref="AP103:AP134" si="86">Qg_tot*Vcc*Fsw</f>
        <v>0.13702500000000001</v>
      </c>
      <c r="AQ103" s="101">
        <f t="shared" ref="AQ103:AQ134" si="87">IQ*T103</f>
        <v>9.8999999999999991E-3</v>
      </c>
      <c r="AR103" s="100">
        <f t="shared" si="67"/>
        <v>33.173326672586967</v>
      </c>
      <c r="AS103" s="98">
        <f t="shared" si="68"/>
        <v>640</v>
      </c>
      <c r="AT103" s="101">
        <f t="shared" si="69"/>
        <v>95.072097280419783</v>
      </c>
    </row>
    <row r="104" spans="17:46" x14ac:dyDescent="0.25">
      <c r="Q104" s="32">
        <v>97</v>
      </c>
      <c r="R104" s="100">
        <f t="shared" si="45"/>
        <v>100</v>
      </c>
      <c r="S104" s="98">
        <f t="shared" si="73"/>
        <v>6.4666666666666668</v>
      </c>
      <c r="T104" s="98">
        <f t="shared" si="47"/>
        <v>22</v>
      </c>
      <c r="U104" s="101">
        <f t="shared" si="74"/>
        <v>32.659932659932657</v>
      </c>
      <c r="V104" s="100">
        <f t="shared" si="75"/>
        <v>2</v>
      </c>
      <c r="W104" s="98">
        <f t="shared" si="76"/>
        <v>0.78</v>
      </c>
      <c r="X104" s="101">
        <f t="shared" si="77"/>
        <v>0.21999999999999997</v>
      </c>
      <c r="Y104" s="100">
        <f t="shared" si="78"/>
        <v>10.43161094224924</v>
      </c>
      <c r="Z104" s="98">
        <f t="shared" si="71"/>
        <v>37.875738131057275</v>
      </c>
      <c r="AA104" s="98">
        <f t="shared" si="72"/>
        <v>32.798466583905117</v>
      </c>
      <c r="AB104" s="98">
        <v>0</v>
      </c>
      <c r="AC104" s="98">
        <f t="shared" si="79"/>
        <v>1.1940707453836501</v>
      </c>
      <c r="AD104" s="101">
        <f t="shared" si="62"/>
        <v>1.1940707453836501</v>
      </c>
      <c r="AE104" s="100">
        <f t="shared" si="70"/>
        <v>25.474747474747474</v>
      </c>
      <c r="AF104" s="98">
        <f t="shared" si="63"/>
        <v>28.966821365129469</v>
      </c>
      <c r="AG104" s="98">
        <f t="shared" si="80"/>
        <v>3.9436606779968089</v>
      </c>
      <c r="AH104" s="98">
        <f t="shared" si="81"/>
        <v>15.852027806218677</v>
      </c>
      <c r="AI104" s="101">
        <f t="shared" si="64"/>
        <v>19.795688484215486</v>
      </c>
      <c r="AJ104" s="100">
        <f t="shared" si="65"/>
        <v>7.1851851851851833</v>
      </c>
      <c r="AK104" s="98">
        <f t="shared" si="82"/>
        <v>15.383844456319062</v>
      </c>
      <c r="AL104" s="98">
        <f t="shared" si="83"/>
        <v>10.993333333333334</v>
      </c>
      <c r="AM104" s="98">
        <f t="shared" si="84"/>
        <v>0.35594999999999999</v>
      </c>
      <c r="AN104" s="101">
        <f t="shared" si="66"/>
        <v>11.349283333333334</v>
      </c>
      <c r="AO104" s="100">
        <f t="shared" si="85"/>
        <v>1.0907997619991172</v>
      </c>
      <c r="AP104" s="98">
        <f t="shared" si="86"/>
        <v>0.13702500000000001</v>
      </c>
      <c r="AQ104" s="101">
        <f t="shared" si="87"/>
        <v>9.8999999999999991E-3</v>
      </c>
      <c r="AR104" s="100">
        <f t="shared" si="67"/>
        <v>33.576767324931588</v>
      </c>
      <c r="AS104" s="98">
        <f t="shared" si="68"/>
        <v>646.66666666666663</v>
      </c>
      <c r="AT104" s="101">
        <f t="shared" si="69"/>
        <v>95.064007141104383</v>
      </c>
    </row>
    <row r="105" spans="17:46" x14ac:dyDescent="0.25">
      <c r="Q105" s="32">
        <v>98</v>
      </c>
      <c r="R105" s="100">
        <f t="shared" si="45"/>
        <v>100</v>
      </c>
      <c r="S105" s="98">
        <f t="shared" si="73"/>
        <v>6.5333333333333332</v>
      </c>
      <c r="T105" s="98">
        <f t="shared" si="47"/>
        <v>22</v>
      </c>
      <c r="U105" s="101">
        <f t="shared" si="74"/>
        <v>32.996632996632997</v>
      </c>
      <c r="V105" s="100">
        <f t="shared" si="75"/>
        <v>2</v>
      </c>
      <c r="W105" s="98">
        <f t="shared" si="76"/>
        <v>0.78</v>
      </c>
      <c r="X105" s="101">
        <f t="shared" si="77"/>
        <v>0.21999999999999997</v>
      </c>
      <c r="Y105" s="100">
        <f t="shared" si="78"/>
        <v>10.43161094224924</v>
      </c>
      <c r="Z105" s="98">
        <f t="shared" si="71"/>
        <v>38.212438467757615</v>
      </c>
      <c r="AA105" s="98">
        <f t="shared" si="72"/>
        <v>33.133759189362955</v>
      </c>
      <c r="AB105" s="98">
        <v>0</v>
      </c>
      <c r="AC105" s="98">
        <f t="shared" si="79"/>
        <v>1.2186090578007505</v>
      </c>
      <c r="AD105" s="101">
        <f t="shared" si="62"/>
        <v>1.2186090578007505</v>
      </c>
      <c r="AE105" s="100">
        <f t="shared" si="70"/>
        <v>25.737373737373737</v>
      </c>
      <c r="AF105" s="98">
        <f t="shared" si="63"/>
        <v>29.262943776294641</v>
      </c>
      <c r="AG105" s="98">
        <f t="shared" si="80"/>
        <v>4.0247034287365322</v>
      </c>
      <c r="AH105" s="98">
        <f t="shared" si="81"/>
        <v>16.0154507732931</v>
      </c>
      <c r="AI105" s="101">
        <f t="shared" si="64"/>
        <v>20.040154202029633</v>
      </c>
      <c r="AJ105" s="100">
        <f t="shared" si="65"/>
        <v>7.2592592592592586</v>
      </c>
      <c r="AK105" s="98">
        <f t="shared" si="82"/>
        <v>15.541110628398236</v>
      </c>
      <c r="AL105" s="98">
        <f t="shared" si="83"/>
        <v>11.106666666666666</v>
      </c>
      <c r="AM105" s="98">
        <f t="shared" si="84"/>
        <v>0.35594999999999999</v>
      </c>
      <c r="AN105" s="101">
        <f t="shared" si="66"/>
        <v>11.462616666666666</v>
      </c>
      <c r="AO105" s="100">
        <f t="shared" si="85"/>
        <v>1.1132158419909557</v>
      </c>
      <c r="AP105" s="98">
        <f t="shared" si="86"/>
        <v>0.13702500000000001</v>
      </c>
      <c r="AQ105" s="101">
        <f t="shared" si="87"/>
        <v>9.8999999999999991E-3</v>
      </c>
      <c r="AR105" s="100">
        <f t="shared" si="67"/>
        <v>33.981520768488004</v>
      </c>
      <c r="AS105" s="98">
        <f t="shared" si="68"/>
        <v>653.33333333333337</v>
      </c>
      <c r="AT105" s="101">
        <f t="shared" si="69"/>
        <v>95.055901881693671</v>
      </c>
    </row>
    <row r="106" spans="17:46" x14ac:dyDescent="0.25">
      <c r="Q106" s="32">
        <v>99</v>
      </c>
      <c r="R106" s="100">
        <f t="shared" si="45"/>
        <v>100</v>
      </c>
      <c r="S106" s="98">
        <f t="shared" si="73"/>
        <v>6.6</v>
      </c>
      <c r="T106" s="98">
        <f t="shared" si="47"/>
        <v>22</v>
      </c>
      <c r="U106" s="101">
        <f t="shared" si="74"/>
        <v>33.333333333333329</v>
      </c>
      <c r="V106" s="100">
        <f t="shared" si="75"/>
        <v>2</v>
      </c>
      <c r="W106" s="98">
        <f t="shared" si="76"/>
        <v>0.78</v>
      </c>
      <c r="X106" s="101">
        <f t="shared" si="77"/>
        <v>0.21999999999999997</v>
      </c>
      <c r="Y106" s="100">
        <f t="shared" si="78"/>
        <v>10.43161094224924</v>
      </c>
      <c r="Z106" s="98">
        <f t="shared" si="71"/>
        <v>38.549138804457947</v>
      </c>
      <c r="AA106" s="98">
        <f t="shared" si="72"/>
        <v>33.469080059292267</v>
      </c>
      <c r="AB106" s="98">
        <v>0</v>
      </c>
      <c r="AC106" s="98">
        <f t="shared" si="79"/>
        <v>1.2433990452169998</v>
      </c>
      <c r="AD106" s="101">
        <f t="shared" si="62"/>
        <v>1.2433990452169998</v>
      </c>
      <c r="AE106" s="100">
        <f t="shared" si="70"/>
        <v>25.999999999999996</v>
      </c>
      <c r="AF106" s="98">
        <f t="shared" si="63"/>
        <v>29.559091149965109</v>
      </c>
      <c r="AG106" s="98">
        <f t="shared" si="80"/>
        <v>4.1065773871761451</v>
      </c>
      <c r="AH106" s="98">
        <f t="shared" si="81"/>
        <v>16.178873740367518</v>
      </c>
      <c r="AI106" s="101">
        <f t="shared" si="64"/>
        <v>20.285451127543663</v>
      </c>
      <c r="AJ106" s="100">
        <f t="shared" si="65"/>
        <v>7.3333333333333313</v>
      </c>
      <c r="AK106" s="98">
        <f t="shared" si="82"/>
        <v>15.69839005768965</v>
      </c>
      <c r="AL106" s="98">
        <f t="shared" si="83"/>
        <v>11.219999999999999</v>
      </c>
      <c r="AM106" s="98">
        <f t="shared" si="84"/>
        <v>0.35594999999999999</v>
      </c>
      <c r="AN106" s="101">
        <f t="shared" si="66"/>
        <v>11.575949999999999</v>
      </c>
      <c r="AO106" s="100">
        <f t="shared" si="85"/>
        <v>1.1358618304955292</v>
      </c>
      <c r="AP106" s="98">
        <f t="shared" si="86"/>
        <v>0.13702500000000001</v>
      </c>
      <c r="AQ106" s="101">
        <f t="shared" si="87"/>
        <v>9.8999999999999991E-3</v>
      </c>
      <c r="AR106" s="100">
        <f t="shared" si="67"/>
        <v>34.387587003256186</v>
      </c>
      <c r="AS106" s="98">
        <f t="shared" si="68"/>
        <v>660</v>
      </c>
      <c r="AT106" s="101">
        <f t="shared" si="69"/>
        <v>95.04778201009303</v>
      </c>
    </row>
    <row r="107" spans="17:46" x14ac:dyDescent="0.25">
      <c r="Q107" s="32">
        <v>100</v>
      </c>
      <c r="R107" s="100">
        <f t="shared" si="45"/>
        <v>100</v>
      </c>
      <c r="S107" s="98">
        <f t="shared" si="73"/>
        <v>6.666666666666667</v>
      </c>
      <c r="T107" s="98">
        <f t="shared" si="47"/>
        <v>22</v>
      </c>
      <c r="U107" s="101">
        <f t="shared" si="74"/>
        <v>33.670033670033675</v>
      </c>
      <c r="V107" s="100">
        <f t="shared" si="75"/>
        <v>2</v>
      </c>
      <c r="W107" s="98">
        <f t="shared" si="76"/>
        <v>0.78</v>
      </c>
      <c r="X107" s="101">
        <f t="shared" si="77"/>
        <v>0.21999999999999997</v>
      </c>
      <c r="Y107" s="100">
        <f t="shared" si="78"/>
        <v>10.43161094224924</v>
      </c>
      <c r="Z107" s="98">
        <f t="shared" si="71"/>
        <v>38.885839141158293</v>
      </c>
      <c r="AA107" s="98">
        <f t="shared" si="72"/>
        <v>33.804428352590222</v>
      </c>
      <c r="AB107" s="98">
        <v>0</v>
      </c>
      <c r="AC107" s="98">
        <f t="shared" si="79"/>
        <v>1.2684407076324002</v>
      </c>
      <c r="AD107" s="101">
        <f t="shared" si="62"/>
        <v>1.2684407076324002</v>
      </c>
      <c r="AE107" s="100">
        <f t="shared" si="70"/>
        <v>26.262626262626267</v>
      </c>
      <c r="AF107" s="98">
        <f t="shared" si="63"/>
        <v>29.855262743298987</v>
      </c>
      <c r="AG107" s="98">
        <f t="shared" si="80"/>
        <v>4.1892825533156577</v>
      </c>
      <c r="AH107" s="98">
        <f t="shared" si="81"/>
        <v>16.342296707441943</v>
      </c>
      <c r="AI107" s="101">
        <f t="shared" si="64"/>
        <v>20.531579260757599</v>
      </c>
      <c r="AJ107" s="100">
        <f t="shared" si="65"/>
        <v>7.4074074074074074</v>
      </c>
      <c r="AK107" s="98">
        <f t="shared" si="82"/>
        <v>15.855682349681116</v>
      </c>
      <c r="AL107" s="98">
        <f t="shared" si="83"/>
        <v>11.333333333333334</v>
      </c>
      <c r="AM107" s="98">
        <f t="shared" si="84"/>
        <v>0.35594999999999999</v>
      </c>
      <c r="AN107" s="101">
        <f t="shared" si="66"/>
        <v>11.689283333333334</v>
      </c>
      <c r="AO107" s="100">
        <f t="shared" si="85"/>
        <v>1.1587377275128414</v>
      </c>
      <c r="AP107" s="98">
        <f t="shared" si="86"/>
        <v>0.13702500000000001</v>
      </c>
      <c r="AQ107" s="101">
        <f t="shared" si="87"/>
        <v>9.8999999999999991E-3</v>
      </c>
      <c r="AR107" s="100">
        <f t="shared" si="67"/>
        <v>34.794966029236178</v>
      </c>
      <c r="AS107" s="98">
        <f t="shared" si="68"/>
        <v>666.66666666666674</v>
      </c>
      <c r="AT107" s="101">
        <f t="shared" si="69"/>
        <v>95.039648013889234</v>
      </c>
    </row>
    <row r="108" spans="17:46" x14ac:dyDescent="0.25">
      <c r="Q108" s="32">
        <v>101</v>
      </c>
      <c r="R108" s="100">
        <f t="shared" si="45"/>
        <v>100</v>
      </c>
      <c r="S108" s="98">
        <f t="shared" si="73"/>
        <v>6.7333333333333334</v>
      </c>
      <c r="T108" s="98">
        <f t="shared" si="47"/>
        <v>22</v>
      </c>
      <c r="U108" s="101">
        <f t="shared" si="74"/>
        <v>34.006734006734007</v>
      </c>
      <c r="V108" s="100">
        <f t="shared" si="75"/>
        <v>2</v>
      </c>
      <c r="W108" s="98">
        <f t="shared" si="76"/>
        <v>0.78</v>
      </c>
      <c r="X108" s="101">
        <f t="shared" si="77"/>
        <v>0.21999999999999997</v>
      </c>
      <c r="Y108" s="100">
        <f t="shared" si="78"/>
        <v>10.43161094224924</v>
      </c>
      <c r="Z108" s="98">
        <f t="shared" si="71"/>
        <v>39.222539477858625</v>
      </c>
      <c r="AA108" s="98">
        <f t="shared" si="72"/>
        <v>34.139803261134411</v>
      </c>
      <c r="AB108" s="98">
        <v>0</v>
      </c>
      <c r="AC108" s="98">
        <f t="shared" si="79"/>
        <v>1.2937340450469499</v>
      </c>
      <c r="AD108" s="101">
        <f t="shared" si="62"/>
        <v>1.2937340450469499</v>
      </c>
      <c r="AE108" s="100">
        <f t="shared" si="70"/>
        <v>26.525252525252526</v>
      </c>
      <c r="AF108" s="98">
        <f t="shared" si="63"/>
        <v>30.151457842581866</v>
      </c>
      <c r="AG108" s="98">
        <f t="shared" si="80"/>
        <v>4.2728189271550603</v>
      </c>
      <c r="AH108" s="98">
        <f t="shared" si="81"/>
        <v>16.505719674516357</v>
      </c>
      <c r="AI108" s="101">
        <f t="shared" si="64"/>
        <v>20.778538601671418</v>
      </c>
      <c r="AJ108" s="100">
        <f t="shared" si="65"/>
        <v>7.481481481481481</v>
      </c>
      <c r="AK108" s="98">
        <f t="shared" si="82"/>
        <v>16.012987125329612</v>
      </c>
      <c r="AL108" s="98">
        <f t="shared" si="83"/>
        <v>11.446666666666667</v>
      </c>
      <c r="AM108" s="98">
        <f t="shared" si="84"/>
        <v>0.35594999999999999</v>
      </c>
      <c r="AN108" s="101">
        <f t="shared" si="66"/>
        <v>11.802616666666667</v>
      </c>
      <c r="AO108" s="100">
        <f t="shared" si="85"/>
        <v>1.1818435330428889</v>
      </c>
      <c r="AP108" s="98">
        <f t="shared" si="86"/>
        <v>0.13702500000000001</v>
      </c>
      <c r="AQ108" s="101">
        <f t="shared" si="87"/>
        <v>9.8999999999999991E-3</v>
      </c>
      <c r="AR108" s="100">
        <f t="shared" si="67"/>
        <v>35.203657846427923</v>
      </c>
      <c r="AS108" s="98">
        <f t="shared" si="68"/>
        <v>673.33333333333337</v>
      </c>
      <c r="AT108" s="101">
        <f t="shared" si="69"/>
        <v>95.031500361355654</v>
      </c>
    </row>
    <row r="109" spans="17:46" x14ac:dyDescent="0.25">
      <c r="Q109" s="32">
        <v>102</v>
      </c>
      <c r="R109" s="100">
        <f t="shared" si="45"/>
        <v>100</v>
      </c>
      <c r="S109" s="98">
        <f t="shared" si="73"/>
        <v>6.8</v>
      </c>
      <c r="T109" s="98">
        <f t="shared" si="47"/>
        <v>22</v>
      </c>
      <c r="U109" s="101">
        <f t="shared" si="74"/>
        <v>34.343434343434339</v>
      </c>
      <c r="V109" s="100">
        <f t="shared" si="75"/>
        <v>2</v>
      </c>
      <c r="W109" s="98">
        <f t="shared" si="76"/>
        <v>0.78</v>
      </c>
      <c r="X109" s="101">
        <f t="shared" si="77"/>
        <v>0.21999999999999997</v>
      </c>
      <c r="Y109" s="100">
        <f t="shared" si="78"/>
        <v>10.43161094224924</v>
      </c>
      <c r="Z109" s="98">
        <f t="shared" si="71"/>
        <v>39.559239814558957</v>
      </c>
      <c r="AA109" s="98">
        <f t="shared" si="72"/>
        <v>34.475204008185216</v>
      </c>
      <c r="AB109" s="98">
        <v>0</v>
      </c>
      <c r="AC109" s="98">
        <f t="shared" si="79"/>
        <v>1.319279057460649</v>
      </c>
      <c r="AD109" s="101">
        <f t="shared" si="62"/>
        <v>1.319279057460649</v>
      </c>
      <c r="AE109" s="100">
        <f t="shared" si="70"/>
        <v>26.787878787878785</v>
      </c>
      <c r="AF109" s="98">
        <f t="shared" si="63"/>
        <v>30.447675761815908</v>
      </c>
      <c r="AG109" s="98">
        <f t="shared" si="80"/>
        <v>4.3571865086943582</v>
      </c>
      <c r="AH109" s="98">
        <f t="shared" si="81"/>
        <v>16.669142641590778</v>
      </c>
      <c r="AI109" s="101">
        <f t="shared" si="64"/>
        <v>21.026329150285136</v>
      </c>
      <c r="AJ109" s="100">
        <f t="shared" si="65"/>
        <v>7.5555555555555536</v>
      </c>
      <c r="AK109" s="98">
        <f t="shared" si="82"/>
        <v>16.170304020311978</v>
      </c>
      <c r="AL109" s="98">
        <f t="shared" si="83"/>
        <v>11.559999999999999</v>
      </c>
      <c r="AM109" s="98">
        <f t="shared" si="84"/>
        <v>0.35594999999999999</v>
      </c>
      <c r="AN109" s="101">
        <f t="shared" si="66"/>
        <v>11.915949999999999</v>
      </c>
      <c r="AO109" s="100">
        <f t="shared" si="85"/>
        <v>1.2051792470856735</v>
      </c>
      <c r="AP109" s="98">
        <f t="shared" si="86"/>
        <v>0.13702500000000001</v>
      </c>
      <c r="AQ109" s="101">
        <f t="shared" si="87"/>
        <v>9.8999999999999991E-3</v>
      </c>
      <c r="AR109" s="100">
        <f t="shared" si="67"/>
        <v>35.613662454831463</v>
      </c>
      <c r="AS109" s="98">
        <f t="shared" si="68"/>
        <v>680</v>
      </c>
      <c r="AT109" s="101">
        <f t="shared" si="69"/>
        <v>95.023339502398159</v>
      </c>
    </row>
    <row r="110" spans="17:46" x14ac:dyDescent="0.25">
      <c r="Q110" s="32">
        <v>103</v>
      </c>
      <c r="R110" s="100">
        <f t="shared" si="45"/>
        <v>100</v>
      </c>
      <c r="S110" s="98">
        <f t="shared" si="73"/>
        <v>6.8666666666666663</v>
      </c>
      <c r="T110" s="98">
        <f t="shared" si="47"/>
        <v>22</v>
      </c>
      <c r="U110" s="101">
        <f t="shared" si="74"/>
        <v>34.680134680134678</v>
      </c>
      <c r="V110" s="100">
        <f t="shared" si="75"/>
        <v>2</v>
      </c>
      <c r="W110" s="98">
        <f t="shared" si="76"/>
        <v>0.78</v>
      </c>
      <c r="X110" s="101">
        <f t="shared" si="77"/>
        <v>0.21999999999999997</v>
      </c>
      <c r="Y110" s="100">
        <f t="shared" si="78"/>
        <v>10.43161094224924</v>
      </c>
      <c r="Z110" s="98">
        <f t="shared" si="71"/>
        <v>39.895940151259296</v>
      </c>
      <c r="AA110" s="98">
        <f t="shared" si="72"/>
        <v>34.810629846879884</v>
      </c>
      <c r="AB110" s="98">
        <v>0</v>
      </c>
      <c r="AC110" s="98">
        <f t="shared" si="79"/>
        <v>1.3450757448734982</v>
      </c>
      <c r="AD110" s="101">
        <f t="shared" si="62"/>
        <v>1.3450757448734982</v>
      </c>
      <c r="AE110" s="100">
        <f t="shared" si="70"/>
        <v>27.050505050505048</v>
      </c>
      <c r="AF110" s="98">
        <f t="shared" si="63"/>
        <v>30.743915841389789</v>
      </c>
      <c r="AG110" s="98">
        <f t="shared" si="80"/>
        <v>4.4423852979335523</v>
      </c>
      <c r="AH110" s="98">
        <f t="shared" si="81"/>
        <v>16.832565608665195</v>
      </c>
      <c r="AI110" s="101">
        <f t="shared" si="64"/>
        <v>21.274950906598747</v>
      </c>
      <c r="AJ110" s="100">
        <f t="shared" si="65"/>
        <v>7.629629629629628</v>
      </c>
      <c r="AK110" s="98">
        <f t="shared" si="82"/>
        <v>16.327632684318523</v>
      </c>
      <c r="AL110" s="98">
        <f t="shared" si="83"/>
        <v>11.673333333333332</v>
      </c>
      <c r="AM110" s="98">
        <f t="shared" si="84"/>
        <v>0.35594999999999999</v>
      </c>
      <c r="AN110" s="101">
        <f t="shared" si="66"/>
        <v>12.029283333333332</v>
      </c>
      <c r="AO110" s="100">
        <f t="shared" si="85"/>
        <v>1.2287448696411953</v>
      </c>
      <c r="AP110" s="98">
        <f t="shared" si="86"/>
        <v>0.13702500000000001</v>
      </c>
      <c r="AQ110" s="101">
        <f t="shared" si="87"/>
        <v>9.8999999999999991E-3</v>
      </c>
      <c r="AR110" s="100">
        <f t="shared" si="67"/>
        <v>36.024979854446777</v>
      </c>
      <c r="AS110" s="98">
        <f t="shared" si="68"/>
        <v>686.66666666666663</v>
      </c>
      <c r="AT110" s="101">
        <f t="shared" si="69"/>
        <v>95.015165869446051</v>
      </c>
    </row>
    <row r="111" spans="17:46" x14ac:dyDescent="0.25">
      <c r="Q111" s="32">
        <v>104</v>
      </c>
      <c r="R111" s="100">
        <f t="shared" si="45"/>
        <v>100</v>
      </c>
      <c r="S111" s="98">
        <f t="shared" si="73"/>
        <v>6.9333333333333336</v>
      </c>
      <c r="T111" s="98">
        <f t="shared" si="47"/>
        <v>22</v>
      </c>
      <c r="U111" s="101">
        <f t="shared" si="74"/>
        <v>35.016835016835017</v>
      </c>
      <c r="V111" s="100">
        <f t="shared" si="75"/>
        <v>2</v>
      </c>
      <c r="W111" s="98">
        <f t="shared" si="76"/>
        <v>0.78</v>
      </c>
      <c r="X111" s="101">
        <f t="shared" si="77"/>
        <v>0.21999999999999997</v>
      </c>
      <c r="Y111" s="100">
        <f t="shared" si="78"/>
        <v>10.43161094224924</v>
      </c>
      <c r="Z111" s="98">
        <f t="shared" si="71"/>
        <v>40.232640487959635</v>
      </c>
      <c r="AA111" s="98">
        <f t="shared" si="72"/>
        <v>35.146080058812359</v>
      </c>
      <c r="AB111" s="98">
        <v>0</v>
      </c>
      <c r="AC111" s="98">
        <f t="shared" si="79"/>
        <v>1.3711241072854972</v>
      </c>
      <c r="AD111" s="101">
        <f t="shared" si="62"/>
        <v>1.3711241072854972</v>
      </c>
      <c r="AE111" s="100">
        <f t="shared" si="70"/>
        <v>27.313131313131315</v>
      </c>
      <c r="AF111" s="98">
        <f t="shared" si="63"/>
        <v>31.040177446824444</v>
      </c>
      <c r="AG111" s="98">
        <f t="shared" si="80"/>
        <v>4.5284152948726399</v>
      </c>
      <c r="AH111" s="98">
        <f t="shared" si="81"/>
        <v>16.995988575739617</v>
      </c>
      <c r="AI111" s="101">
        <f t="shared" si="64"/>
        <v>21.524403870612257</v>
      </c>
      <c r="AJ111" s="100">
        <f t="shared" si="65"/>
        <v>7.7037037037037033</v>
      </c>
      <c r="AK111" s="98">
        <f t="shared" si="82"/>
        <v>16.484972780386943</v>
      </c>
      <c r="AL111" s="98">
        <f t="shared" si="83"/>
        <v>11.786666666666667</v>
      </c>
      <c r="AM111" s="98">
        <f t="shared" si="84"/>
        <v>0.35594999999999999</v>
      </c>
      <c r="AN111" s="101">
        <f t="shared" si="66"/>
        <v>12.142616666666667</v>
      </c>
      <c r="AO111" s="100">
        <f t="shared" si="85"/>
        <v>1.2525404007094534</v>
      </c>
      <c r="AP111" s="98">
        <f t="shared" si="86"/>
        <v>0.13702500000000001</v>
      </c>
      <c r="AQ111" s="101">
        <f t="shared" si="87"/>
        <v>9.8999999999999991E-3</v>
      </c>
      <c r="AR111" s="100">
        <f t="shared" si="67"/>
        <v>36.437610045273878</v>
      </c>
      <c r="AS111" s="98">
        <f t="shared" si="68"/>
        <v>693.33333333333337</v>
      </c>
      <c r="AT111" s="101">
        <f t="shared" si="69"/>
        <v>95.006979878291759</v>
      </c>
    </row>
    <row r="112" spans="17:46" x14ac:dyDescent="0.25">
      <c r="Q112" s="32">
        <v>105</v>
      </c>
      <c r="R112" s="100">
        <f t="shared" si="45"/>
        <v>100</v>
      </c>
      <c r="S112" s="98">
        <f t="shared" si="73"/>
        <v>7</v>
      </c>
      <c r="T112" s="98">
        <f t="shared" si="47"/>
        <v>22</v>
      </c>
      <c r="U112" s="101">
        <f t="shared" si="74"/>
        <v>35.353535353535349</v>
      </c>
      <c r="V112" s="100">
        <f t="shared" si="75"/>
        <v>2</v>
      </c>
      <c r="W112" s="98">
        <f t="shared" si="76"/>
        <v>0.78</v>
      </c>
      <c r="X112" s="101">
        <f t="shared" si="77"/>
        <v>0.21999999999999997</v>
      </c>
      <c r="Y112" s="100">
        <f t="shared" si="78"/>
        <v>10.43161094224924</v>
      </c>
      <c r="Z112" s="98">
        <f t="shared" si="71"/>
        <v>40.569340824659967</v>
      </c>
      <c r="AA112" s="98">
        <f t="shared" si="72"/>
        <v>35.481553952693197</v>
      </c>
      <c r="AB112" s="98">
        <v>0</v>
      </c>
      <c r="AC112" s="98">
        <f t="shared" si="79"/>
        <v>1.3974241446966449</v>
      </c>
      <c r="AD112" s="101">
        <f t="shared" si="62"/>
        <v>1.3974241446966449</v>
      </c>
      <c r="AE112" s="100">
        <f t="shared" si="70"/>
        <v>27.575757575757574</v>
      </c>
      <c r="AF112" s="98">
        <f t="shared" si="63"/>
        <v>31.33645996758959</v>
      </c>
      <c r="AG112" s="98">
        <f t="shared" si="80"/>
        <v>4.615276499511622</v>
      </c>
      <c r="AH112" s="98">
        <f t="shared" si="81"/>
        <v>17.159411542814031</v>
      </c>
      <c r="AI112" s="101">
        <f t="shared" si="64"/>
        <v>21.774688042325653</v>
      </c>
      <c r="AJ112" s="100">
        <f t="shared" si="65"/>
        <v>7.7777777777777759</v>
      </c>
      <c r="AK112" s="98">
        <f t="shared" si="82"/>
        <v>16.642323984273744</v>
      </c>
      <c r="AL112" s="98">
        <f t="shared" si="83"/>
        <v>11.9</v>
      </c>
      <c r="AM112" s="98">
        <f t="shared" si="84"/>
        <v>0.35594999999999999</v>
      </c>
      <c r="AN112" s="101">
        <f t="shared" si="66"/>
        <v>12.25595</v>
      </c>
      <c r="AO112" s="100">
        <f t="shared" si="85"/>
        <v>1.2765658402904485</v>
      </c>
      <c r="AP112" s="98">
        <f t="shared" si="86"/>
        <v>0.13702500000000001</v>
      </c>
      <c r="AQ112" s="101">
        <f t="shared" si="87"/>
        <v>9.8999999999999991E-3</v>
      </c>
      <c r="AR112" s="100">
        <f t="shared" si="67"/>
        <v>36.851553027312747</v>
      </c>
      <c r="AS112" s="98">
        <f t="shared" si="68"/>
        <v>700</v>
      </c>
      <c r="AT112" s="101">
        <f t="shared" si="69"/>
        <v>94.99878192888238</v>
      </c>
    </row>
    <row r="113" spans="17:46" x14ac:dyDescent="0.25">
      <c r="Q113" s="32">
        <v>106</v>
      </c>
      <c r="R113" s="100">
        <f t="shared" si="45"/>
        <v>100</v>
      </c>
      <c r="S113" s="98">
        <f t="shared" si="73"/>
        <v>7.0666666666666664</v>
      </c>
      <c r="T113" s="98">
        <f t="shared" si="47"/>
        <v>22</v>
      </c>
      <c r="U113" s="101">
        <f t="shared" si="74"/>
        <v>35.690235690235689</v>
      </c>
      <c r="V113" s="100">
        <f t="shared" si="75"/>
        <v>2</v>
      </c>
      <c r="W113" s="98">
        <f t="shared" si="76"/>
        <v>0.78</v>
      </c>
      <c r="X113" s="101">
        <f t="shared" si="77"/>
        <v>0.21999999999999997</v>
      </c>
      <c r="Y113" s="100">
        <f t="shared" si="78"/>
        <v>10.43161094224924</v>
      </c>
      <c r="Z113" s="98">
        <f t="shared" si="71"/>
        <v>40.906041161360307</v>
      </c>
      <c r="AA113" s="98">
        <f t="shared" si="72"/>
        <v>35.81705086308444</v>
      </c>
      <c r="AB113" s="98">
        <v>0</v>
      </c>
      <c r="AC113" s="98">
        <f t="shared" si="79"/>
        <v>1.4239758571069434</v>
      </c>
      <c r="AD113" s="101">
        <f t="shared" si="62"/>
        <v>1.4239758571069434</v>
      </c>
      <c r="AE113" s="100">
        <f t="shared" si="70"/>
        <v>27.838383838383837</v>
      </c>
      <c r="AF113" s="98">
        <f t="shared" si="63"/>
        <v>31.632762815986318</v>
      </c>
      <c r="AG113" s="98">
        <f t="shared" si="80"/>
        <v>4.7029689118504994</v>
      </c>
      <c r="AH113" s="98">
        <f t="shared" si="81"/>
        <v>17.322834509888455</v>
      </c>
      <c r="AI113" s="101">
        <f t="shared" si="64"/>
        <v>22.025803421738956</v>
      </c>
      <c r="AJ113" s="100">
        <f t="shared" si="65"/>
        <v>7.8518518518518503</v>
      </c>
      <c r="AK113" s="98">
        <f t="shared" si="82"/>
        <v>16.799685983860861</v>
      </c>
      <c r="AL113" s="98">
        <f t="shared" si="83"/>
        <v>12.013333333333332</v>
      </c>
      <c r="AM113" s="98">
        <f t="shared" si="84"/>
        <v>0.35594999999999999</v>
      </c>
      <c r="AN113" s="101">
        <f t="shared" si="66"/>
        <v>12.369283333333332</v>
      </c>
      <c r="AO113" s="100">
        <f t="shared" si="85"/>
        <v>1.3008211883841807</v>
      </c>
      <c r="AP113" s="98">
        <f t="shared" si="86"/>
        <v>0.13702500000000001</v>
      </c>
      <c r="AQ113" s="101">
        <f t="shared" si="87"/>
        <v>9.8999999999999991E-3</v>
      </c>
      <c r="AR113" s="100">
        <f t="shared" si="67"/>
        <v>37.266808800563417</v>
      </c>
      <c r="AS113" s="98">
        <f t="shared" si="68"/>
        <v>706.66666666666663</v>
      </c>
      <c r="AT113" s="101">
        <f t="shared" si="69"/>
        <v>94.990572406066562</v>
      </c>
    </row>
    <row r="114" spans="17:46" x14ac:dyDescent="0.25">
      <c r="Q114" s="32">
        <v>107</v>
      </c>
      <c r="R114" s="100">
        <f t="shared" si="45"/>
        <v>100</v>
      </c>
      <c r="S114" s="98">
        <f t="shared" si="73"/>
        <v>7.1333333333333329</v>
      </c>
      <c r="T114" s="98">
        <f t="shared" si="47"/>
        <v>22</v>
      </c>
      <c r="U114" s="101">
        <f t="shared" si="74"/>
        <v>36.026936026936021</v>
      </c>
      <c r="V114" s="100">
        <f t="shared" si="75"/>
        <v>2</v>
      </c>
      <c r="W114" s="98">
        <f t="shared" si="76"/>
        <v>0.78</v>
      </c>
      <c r="X114" s="101">
        <f t="shared" si="77"/>
        <v>0.21999999999999997</v>
      </c>
      <c r="Y114" s="100">
        <f t="shared" si="78"/>
        <v>10.43161094224924</v>
      </c>
      <c r="Z114" s="98">
        <f t="shared" si="71"/>
        <v>41.242741498060639</v>
      </c>
      <c r="AA114" s="98">
        <f t="shared" si="72"/>
        <v>36.152570149204401</v>
      </c>
      <c r="AB114" s="98">
        <v>0</v>
      </c>
      <c r="AC114" s="98">
        <f t="shared" si="79"/>
        <v>1.4507792445163912</v>
      </c>
      <c r="AD114" s="101">
        <f t="shared" si="62"/>
        <v>1.4507792445163912</v>
      </c>
      <c r="AE114" s="100">
        <f t="shared" si="70"/>
        <v>28.101010101010097</v>
      </c>
      <c r="AF114" s="98">
        <f t="shared" si="63"/>
        <v>31.929085426091568</v>
      </c>
      <c r="AG114" s="98">
        <f t="shared" si="80"/>
        <v>4.7914925318892694</v>
      </c>
      <c r="AH114" s="98">
        <f t="shared" si="81"/>
        <v>17.486257476962873</v>
      </c>
      <c r="AI114" s="101">
        <f t="shared" si="64"/>
        <v>22.277750008852141</v>
      </c>
      <c r="AJ114" s="100">
        <f t="shared" si="65"/>
        <v>7.9259259259259238</v>
      </c>
      <c r="AK114" s="98">
        <f t="shared" si="82"/>
        <v>16.957058478595037</v>
      </c>
      <c r="AL114" s="98">
        <f t="shared" si="83"/>
        <v>12.126666666666665</v>
      </c>
      <c r="AM114" s="98">
        <f t="shared" si="84"/>
        <v>0.35594999999999999</v>
      </c>
      <c r="AN114" s="101">
        <f t="shared" si="66"/>
        <v>12.482616666666665</v>
      </c>
      <c r="AO114" s="100">
        <f t="shared" si="85"/>
        <v>1.3253064449906489</v>
      </c>
      <c r="AP114" s="98">
        <f t="shared" si="86"/>
        <v>0.13702500000000001</v>
      </c>
      <c r="AQ114" s="101">
        <f t="shared" si="87"/>
        <v>9.8999999999999991E-3</v>
      </c>
      <c r="AR114" s="100">
        <f t="shared" si="67"/>
        <v>37.683377365025848</v>
      </c>
      <c r="AS114" s="98">
        <f t="shared" si="68"/>
        <v>713.33333333333326</v>
      </c>
      <c r="AT114" s="101">
        <f t="shared" si="69"/>
        <v>94.98235168029953</v>
      </c>
    </row>
    <row r="115" spans="17:46" x14ac:dyDescent="0.25">
      <c r="Q115" s="32">
        <v>108</v>
      </c>
      <c r="R115" s="100">
        <f t="shared" si="45"/>
        <v>100</v>
      </c>
      <c r="S115" s="98">
        <f t="shared" si="73"/>
        <v>7.2</v>
      </c>
      <c r="T115" s="98">
        <f t="shared" si="47"/>
        <v>22</v>
      </c>
      <c r="U115" s="101">
        <f t="shared" si="74"/>
        <v>36.36363636363636</v>
      </c>
      <c r="V115" s="100">
        <f t="shared" si="75"/>
        <v>2</v>
      </c>
      <c r="W115" s="98">
        <f t="shared" si="76"/>
        <v>0.78</v>
      </c>
      <c r="X115" s="101">
        <f t="shared" si="77"/>
        <v>0.21999999999999997</v>
      </c>
      <c r="Y115" s="100">
        <f t="shared" si="78"/>
        <v>10.43161094224924</v>
      </c>
      <c r="Z115" s="98">
        <f t="shared" si="71"/>
        <v>41.579441834760978</v>
      </c>
      <c r="AA115" s="98">
        <f t="shared" si="72"/>
        <v>36.488111193798197</v>
      </c>
      <c r="AB115" s="98">
        <v>0</v>
      </c>
      <c r="AC115" s="98">
        <f t="shared" si="79"/>
        <v>1.4778343069249893</v>
      </c>
      <c r="AD115" s="101">
        <f t="shared" si="62"/>
        <v>1.4778343069249893</v>
      </c>
      <c r="AE115" s="100">
        <f t="shared" si="70"/>
        <v>28.363636363636363</v>
      </c>
      <c r="AF115" s="98">
        <f t="shared" si="63"/>
        <v>32.225427252760596</v>
      </c>
      <c r="AG115" s="98">
        <f t="shared" si="80"/>
        <v>4.8808473596279374</v>
      </c>
      <c r="AH115" s="98">
        <f t="shared" si="81"/>
        <v>17.649680444037291</v>
      </c>
      <c r="AI115" s="101">
        <f t="shared" si="64"/>
        <v>22.53052780366523</v>
      </c>
      <c r="AJ115" s="100">
        <f t="shared" si="65"/>
        <v>7.9999999999999982</v>
      </c>
      <c r="AK115" s="98">
        <f t="shared" si="82"/>
        <v>17.114441178958074</v>
      </c>
      <c r="AL115" s="98">
        <f t="shared" si="83"/>
        <v>12.24</v>
      </c>
      <c r="AM115" s="98">
        <f t="shared" si="84"/>
        <v>0.35594999999999999</v>
      </c>
      <c r="AN115" s="101">
        <f t="shared" si="66"/>
        <v>12.59595</v>
      </c>
      <c r="AO115" s="100">
        <f t="shared" si="85"/>
        <v>1.350021610109855</v>
      </c>
      <c r="AP115" s="98">
        <f t="shared" si="86"/>
        <v>0.13702500000000001</v>
      </c>
      <c r="AQ115" s="101">
        <f t="shared" si="87"/>
        <v>9.8999999999999991E-3</v>
      </c>
      <c r="AR115" s="100">
        <f t="shared" si="67"/>
        <v>38.101258720700081</v>
      </c>
      <c r="AS115" s="98">
        <f t="shared" si="68"/>
        <v>720</v>
      </c>
      <c r="AT115" s="101">
        <f t="shared" si="69"/>
        <v>94.974120108308995</v>
      </c>
    </row>
    <row r="116" spans="17:46" x14ac:dyDescent="0.25">
      <c r="Q116" s="32">
        <v>109</v>
      </c>
      <c r="R116" s="100">
        <f t="shared" si="45"/>
        <v>100</v>
      </c>
      <c r="S116" s="98">
        <f t="shared" si="73"/>
        <v>7.2666666666666666</v>
      </c>
      <c r="T116" s="98">
        <f t="shared" si="47"/>
        <v>22</v>
      </c>
      <c r="U116" s="101">
        <f t="shared" si="74"/>
        <v>36.700336700336699</v>
      </c>
      <c r="V116" s="100">
        <f t="shared" si="75"/>
        <v>2</v>
      </c>
      <c r="W116" s="98">
        <f t="shared" si="76"/>
        <v>0.78</v>
      </c>
      <c r="X116" s="101">
        <f t="shared" si="77"/>
        <v>0.21999999999999997</v>
      </c>
      <c r="Y116" s="100">
        <f t="shared" si="78"/>
        <v>10.43161094224924</v>
      </c>
      <c r="Z116" s="98">
        <f t="shared" si="71"/>
        <v>41.916142171461317</v>
      </c>
      <c r="AA116" s="98">
        <f t="shared" si="72"/>
        <v>36.823673402069566</v>
      </c>
      <c r="AB116" s="98">
        <v>0</v>
      </c>
      <c r="AC116" s="98">
        <f t="shared" si="79"/>
        <v>1.5051410443327373</v>
      </c>
      <c r="AD116" s="101">
        <f t="shared" si="62"/>
        <v>1.5051410443327373</v>
      </c>
      <c r="AE116" s="100">
        <f t="shared" si="70"/>
        <v>28.626262626262626</v>
      </c>
      <c r="AF116" s="98">
        <f t="shared" si="63"/>
        <v>32.521787770683559</v>
      </c>
      <c r="AG116" s="98">
        <f t="shared" si="80"/>
        <v>4.9710333950664989</v>
      </c>
      <c r="AH116" s="98">
        <f t="shared" si="81"/>
        <v>17.813103411111712</v>
      </c>
      <c r="AI116" s="101">
        <f t="shared" si="64"/>
        <v>22.784136806178211</v>
      </c>
      <c r="AJ116" s="100">
        <f t="shared" si="65"/>
        <v>8.0740740740740726</v>
      </c>
      <c r="AK116" s="98">
        <f t="shared" si="82"/>
        <v>17.271833805965791</v>
      </c>
      <c r="AL116" s="98">
        <f t="shared" si="83"/>
        <v>12.353333333333333</v>
      </c>
      <c r="AM116" s="98">
        <f t="shared" si="84"/>
        <v>0.35594999999999999</v>
      </c>
      <c r="AN116" s="101">
        <f t="shared" si="66"/>
        <v>12.709283333333333</v>
      </c>
      <c r="AO116" s="100">
        <f t="shared" si="85"/>
        <v>1.3749666837417975</v>
      </c>
      <c r="AP116" s="98">
        <f t="shared" si="86"/>
        <v>0.13702500000000001</v>
      </c>
      <c r="AQ116" s="101">
        <f t="shared" si="87"/>
        <v>9.8999999999999991E-3</v>
      </c>
      <c r="AR116" s="100">
        <f t="shared" si="67"/>
        <v>38.520452867586087</v>
      </c>
      <c r="AS116" s="98">
        <f t="shared" si="68"/>
        <v>726.66666666666663</v>
      </c>
      <c r="AT116" s="101">
        <f t="shared" si="69"/>
        <v>94.965878033724309</v>
      </c>
    </row>
    <row r="117" spans="17:46" x14ac:dyDescent="0.25">
      <c r="Q117" s="32">
        <v>110</v>
      </c>
      <c r="R117" s="100">
        <f t="shared" si="45"/>
        <v>100</v>
      </c>
      <c r="S117" s="98">
        <f t="shared" si="73"/>
        <v>7.333333333333333</v>
      </c>
      <c r="T117" s="98">
        <f t="shared" si="47"/>
        <v>22</v>
      </c>
      <c r="U117" s="101">
        <f t="shared" si="74"/>
        <v>37.037037037037031</v>
      </c>
      <c r="V117" s="100">
        <f t="shared" si="75"/>
        <v>2</v>
      </c>
      <c r="W117" s="98">
        <f t="shared" si="76"/>
        <v>0.78</v>
      </c>
      <c r="X117" s="101">
        <f t="shared" si="77"/>
        <v>0.21999999999999997</v>
      </c>
      <c r="Y117" s="100">
        <f t="shared" si="78"/>
        <v>10.43161094224924</v>
      </c>
      <c r="Z117" s="98">
        <f t="shared" si="71"/>
        <v>42.252842508161649</v>
      </c>
      <c r="AA117" s="98">
        <f t="shared" si="72"/>
        <v>37.159256200670342</v>
      </c>
      <c r="AB117" s="98">
        <v>0</v>
      </c>
      <c r="AC117" s="98">
        <f t="shared" si="79"/>
        <v>1.5326994567396337</v>
      </c>
      <c r="AD117" s="101">
        <f t="shared" si="62"/>
        <v>1.5326994567396337</v>
      </c>
      <c r="AE117" s="100">
        <f t="shared" si="70"/>
        <v>28.888888888888886</v>
      </c>
      <c r="AF117" s="98">
        <f t="shared" si="63"/>
        <v>32.818166473493072</v>
      </c>
      <c r="AG117" s="98">
        <f t="shared" si="80"/>
        <v>5.0620506382049522</v>
      </c>
      <c r="AH117" s="98">
        <f t="shared" si="81"/>
        <v>17.976526378186129</v>
      </c>
      <c r="AI117" s="101">
        <f t="shared" si="64"/>
        <v>23.038577016391081</v>
      </c>
      <c r="AJ117" s="100">
        <f t="shared" si="65"/>
        <v>8.1481481481481453</v>
      </c>
      <c r="AK117" s="98">
        <f t="shared" si="82"/>
        <v>17.429236090694065</v>
      </c>
      <c r="AL117" s="98">
        <f t="shared" si="83"/>
        <v>12.466666666666665</v>
      </c>
      <c r="AM117" s="98">
        <f t="shared" si="84"/>
        <v>0.35594999999999999</v>
      </c>
      <c r="AN117" s="101">
        <f t="shared" si="66"/>
        <v>12.822616666666665</v>
      </c>
      <c r="AO117" s="100">
        <f t="shared" si="85"/>
        <v>1.4001416658864758</v>
      </c>
      <c r="AP117" s="98">
        <f t="shared" si="86"/>
        <v>0.13702500000000001</v>
      </c>
      <c r="AQ117" s="101">
        <f t="shared" si="87"/>
        <v>9.8999999999999991E-3</v>
      </c>
      <c r="AR117" s="100">
        <f t="shared" si="67"/>
        <v>38.94095980568386</v>
      </c>
      <c r="AS117" s="98">
        <f t="shared" si="68"/>
        <v>733.33333333333326</v>
      </c>
      <c r="AT117" s="101">
        <f t="shared" si="69"/>
        <v>94.957625787671518</v>
      </c>
    </row>
    <row r="118" spans="17:46" x14ac:dyDescent="0.25">
      <c r="Q118" s="32">
        <v>111</v>
      </c>
      <c r="R118" s="100">
        <f t="shared" si="45"/>
        <v>100</v>
      </c>
      <c r="S118" s="98">
        <f t="shared" si="73"/>
        <v>7.3999999999999995</v>
      </c>
      <c r="T118" s="98">
        <f t="shared" si="47"/>
        <v>22</v>
      </c>
      <c r="U118" s="101">
        <f t="shared" si="74"/>
        <v>37.37373737373737</v>
      </c>
      <c r="V118" s="100">
        <f t="shared" si="75"/>
        <v>2</v>
      </c>
      <c r="W118" s="98">
        <f t="shared" si="76"/>
        <v>0.78</v>
      </c>
      <c r="X118" s="101">
        <f t="shared" si="77"/>
        <v>0.21999999999999997</v>
      </c>
      <c r="Y118" s="100">
        <f t="shared" si="78"/>
        <v>10.43161094224924</v>
      </c>
      <c r="Z118" s="98">
        <f t="shared" si="71"/>
        <v>42.589542844861988</v>
      </c>
      <c r="AA118" s="98">
        <f t="shared" si="72"/>
        <v>37.494859036743932</v>
      </c>
      <c r="AB118" s="98">
        <v>0</v>
      </c>
      <c r="AC118" s="98">
        <f t="shared" si="79"/>
        <v>1.5605095441456811</v>
      </c>
      <c r="AD118" s="101">
        <f t="shared" si="62"/>
        <v>1.5605095441456811</v>
      </c>
      <c r="AE118" s="100">
        <f t="shared" si="70"/>
        <v>29.151515151515149</v>
      </c>
      <c r="AF118" s="98">
        <f t="shared" si="63"/>
        <v>33.114562872919407</v>
      </c>
      <c r="AG118" s="98">
        <f t="shared" si="80"/>
        <v>5.1538990890433034</v>
      </c>
      <c r="AH118" s="98">
        <f t="shared" si="81"/>
        <v>18.13994934526055</v>
      </c>
      <c r="AI118" s="101">
        <f t="shared" si="64"/>
        <v>23.293848434303854</v>
      </c>
      <c r="AJ118" s="100">
        <f t="shared" si="65"/>
        <v>8.2222222222222197</v>
      </c>
      <c r="AK118" s="98">
        <f t="shared" si="82"/>
        <v>17.586647773830165</v>
      </c>
      <c r="AL118" s="98">
        <f t="shared" si="83"/>
        <v>12.579999999999998</v>
      </c>
      <c r="AM118" s="98">
        <f t="shared" si="84"/>
        <v>0.35594999999999999</v>
      </c>
      <c r="AN118" s="101">
        <f t="shared" si="66"/>
        <v>12.935949999999998</v>
      </c>
      <c r="AO118" s="100">
        <f t="shared" si="85"/>
        <v>1.4255465565438923</v>
      </c>
      <c r="AP118" s="98">
        <f t="shared" si="86"/>
        <v>0.13702500000000001</v>
      </c>
      <c r="AQ118" s="101">
        <f t="shared" si="87"/>
        <v>9.8999999999999991E-3</v>
      </c>
      <c r="AR118" s="100">
        <f t="shared" si="67"/>
        <v>39.362779534993429</v>
      </c>
      <c r="AS118" s="98">
        <f t="shared" si="68"/>
        <v>740</v>
      </c>
      <c r="AT118" s="101">
        <f t="shared" si="69"/>
        <v>94.949363689336138</v>
      </c>
    </row>
    <row r="119" spans="17:46" x14ac:dyDescent="0.25">
      <c r="Q119" s="32">
        <v>112</v>
      </c>
      <c r="R119" s="100">
        <f t="shared" si="45"/>
        <v>100</v>
      </c>
      <c r="S119" s="98">
        <f t="shared" si="73"/>
        <v>7.4666666666666668</v>
      </c>
      <c r="T119" s="98">
        <f t="shared" si="47"/>
        <v>22</v>
      </c>
      <c r="U119" s="101">
        <f t="shared" si="74"/>
        <v>37.710437710437709</v>
      </c>
      <c r="V119" s="100">
        <f t="shared" si="75"/>
        <v>2</v>
      </c>
      <c r="W119" s="98">
        <f t="shared" si="76"/>
        <v>0.78</v>
      </c>
      <c r="X119" s="101">
        <f t="shared" si="77"/>
        <v>0.21999999999999997</v>
      </c>
      <c r="Y119" s="100">
        <f t="shared" si="78"/>
        <v>10.43161094224924</v>
      </c>
      <c r="Z119" s="98">
        <f t="shared" si="71"/>
        <v>42.926243181562327</v>
      </c>
      <c r="AA119" s="98">
        <f t="shared" si="72"/>
        <v>37.830481377019339</v>
      </c>
      <c r="AB119" s="98">
        <v>0</v>
      </c>
      <c r="AC119" s="98">
        <f t="shared" si="79"/>
        <v>1.588571306550878</v>
      </c>
      <c r="AD119" s="101">
        <f t="shared" si="62"/>
        <v>1.588571306550878</v>
      </c>
      <c r="AE119" s="100">
        <f t="shared" si="70"/>
        <v>29.414141414141415</v>
      </c>
      <c r="AF119" s="98">
        <f t="shared" si="63"/>
        <v>33.410976497990376</v>
      </c>
      <c r="AG119" s="98">
        <f t="shared" si="80"/>
        <v>5.2465787475815464</v>
      </c>
      <c r="AH119" s="98">
        <f t="shared" si="81"/>
        <v>18.303372312334968</v>
      </c>
      <c r="AI119" s="101">
        <f t="shared" si="64"/>
        <v>23.549951059916516</v>
      </c>
      <c r="AJ119" s="100">
        <f t="shared" si="65"/>
        <v>8.2962962962962958</v>
      </c>
      <c r="AK119" s="98">
        <f t="shared" si="82"/>
        <v>17.744068605247826</v>
      </c>
      <c r="AL119" s="98">
        <f t="shared" si="83"/>
        <v>12.693333333333333</v>
      </c>
      <c r="AM119" s="98">
        <f t="shared" si="84"/>
        <v>0.35594999999999999</v>
      </c>
      <c r="AN119" s="101">
        <f t="shared" si="66"/>
        <v>13.049283333333333</v>
      </c>
      <c r="AO119" s="100">
        <f t="shared" si="85"/>
        <v>1.4511813557140447</v>
      </c>
      <c r="AP119" s="98">
        <f t="shared" si="86"/>
        <v>0.13702500000000001</v>
      </c>
      <c r="AQ119" s="101">
        <f t="shared" si="87"/>
        <v>9.8999999999999991E-3</v>
      </c>
      <c r="AR119" s="100">
        <f t="shared" si="67"/>
        <v>39.785912055514771</v>
      </c>
      <c r="AS119" s="98">
        <f t="shared" si="68"/>
        <v>746.66666666666663</v>
      </c>
      <c r="AT119" s="101">
        <f t="shared" si="69"/>
        <v>94.941092046495868</v>
      </c>
    </row>
    <row r="120" spans="17:46" x14ac:dyDescent="0.25">
      <c r="Q120" s="32">
        <v>113</v>
      </c>
      <c r="R120" s="100">
        <f t="shared" si="45"/>
        <v>100</v>
      </c>
      <c r="S120" s="98">
        <f t="shared" si="73"/>
        <v>7.5333333333333332</v>
      </c>
      <c r="T120" s="98">
        <f t="shared" si="47"/>
        <v>22</v>
      </c>
      <c r="U120" s="101">
        <f t="shared" si="74"/>
        <v>38.047138047138048</v>
      </c>
      <c r="V120" s="100">
        <f t="shared" si="75"/>
        <v>2</v>
      </c>
      <c r="W120" s="98">
        <f t="shared" si="76"/>
        <v>0.78</v>
      </c>
      <c r="X120" s="101">
        <f t="shared" si="77"/>
        <v>0.21999999999999997</v>
      </c>
      <c r="Y120" s="100">
        <f t="shared" si="78"/>
        <v>10.43161094224924</v>
      </c>
      <c r="Z120" s="98">
        <f t="shared" si="71"/>
        <v>43.262943518262666</v>
      </c>
      <c r="AA120" s="98">
        <f t="shared" si="72"/>
        <v>38.166122706952883</v>
      </c>
      <c r="AB120" s="98">
        <v>0</v>
      </c>
      <c r="AC120" s="98">
        <f t="shared" si="79"/>
        <v>1.616884743955225</v>
      </c>
      <c r="AD120" s="101">
        <f t="shared" si="62"/>
        <v>1.616884743955225</v>
      </c>
      <c r="AE120" s="100">
        <f t="shared" si="70"/>
        <v>29.676767676767678</v>
      </c>
      <c r="AF120" s="98">
        <f t="shared" si="63"/>
        <v>33.707406894273305</v>
      </c>
      <c r="AG120" s="98">
        <f t="shared" si="80"/>
        <v>5.3400896138196874</v>
      </c>
      <c r="AH120" s="98">
        <f t="shared" si="81"/>
        <v>18.466795279409393</v>
      </c>
      <c r="AI120" s="101">
        <f t="shared" si="64"/>
        <v>23.806884893229082</v>
      </c>
      <c r="AJ120" s="100">
        <f t="shared" si="65"/>
        <v>8.3703703703703702</v>
      </c>
      <c r="AK120" s="98">
        <f t="shared" si="82"/>
        <v>17.901498343604661</v>
      </c>
      <c r="AL120" s="98">
        <f t="shared" si="83"/>
        <v>12.806666666666667</v>
      </c>
      <c r="AM120" s="98">
        <f t="shared" si="84"/>
        <v>0.35594999999999999</v>
      </c>
      <c r="AN120" s="101">
        <f t="shared" si="66"/>
        <v>13.162616666666667</v>
      </c>
      <c r="AO120" s="100">
        <f t="shared" si="85"/>
        <v>1.4770460633969347</v>
      </c>
      <c r="AP120" s="98">
        <f t="shared" si="86"/>
        <v>0.13702500000000001</v>
      </c>
      <c r="AQ120" s="101">
        <f t="shared" si="87"/>
        <v>9.8999999999999991E-3</v>
      </c>
      <c r="AR120" s="100">
        <f t="shared" si="67"/>
        <v>40.210357367247916</v>
      </c>
      <c r="AS120" s="98">
        <f t="shared" si="68"/>
        <v>753.33333333333337</v>
      </c>
      <c r="AT120" s="101">
        <f t="shared" si="69"/>
        <v>94.932811156024925</v>
      </c>
    </row>
    <row r="121" spans="17:46" x14ac:dyDescent="0.25">
      <c r="Q121" s="32">
        <v>114</v>
      </c>
      <c r="R121" s="100">
        <f t="shared" si="45"/>
        <v>100</v>
      </c>
      <c r="S121" s="98">
        <f t="shared" si="73"/>
        <v>7.6</v>
      </c>
      <c r="T121" s="98">
        <f t="shared" si="47"/>
        <v>22</v>
      </c>
      <c r="U121" s="101">
        <f t="shared" si="74"/>
        <v>38.383838383838381</v>
      </c>
      <c r="V121" s="100">
        <f t="shared" si="75"/>
        <v>2</v>
      </c>
      <c r="W121" s="98">
        <f t="shared" si="76"/>
        <v>0.78</v>
      </c>
      <c r="X121" s="101">
        <f t="shared" si="77"/>
        <v>0.21999999999999997</v>
      </c>
      <c r="Y121" s="100">
        <f t="shared" si="78"/>
        <v>10.43161094224924</v>
      </c>
      <c r="Z121" s="98">
        <f t="shared" si="71"/>
        <v>43.599643854962999</v>
      </c>
      <c r="AA121" s="98">
        <f t="shared" si="72"/>
        <v>38.5017825299145</v>
      </c>
      <c r="AB121" s="98">
        <v>0</v>
      </c>
      <c r="AC121" s="98">
        <f t="shared" si="79"/>
        <v>1.6454498563587208</v>
      </c>
      <c r="AD121" s="101">
        <f t="shared" si="62"/>
        <v>1.6454498563587208</v>
      </c>
      <c r="AE121" s="100">
        <f t="shared" si="70"/>
        <v>29.939393939393938</v>
      </c>
      <c r="AF121" s="98">
        <f t="shared" si="63"/>
        <v>34.003853623156402</v>
      </c>
      <c r="AG121" s="98">
        <f t="shared" si="80"/>
        <v>5.4344316877577201</v>
      </c>
      <c r="AH121" s="98">
        <f t="shared" si="81"/>
        <v>18.63021824648381</v>
      </c>
      <c r="AI121" s="101">
        <f t="shared" si="64"/>
        <v>24.06464993424153</v>
      </c>
      <c r="AJ121" s="100">
        <f t="shared" si="65"/>
        <v>8.4444444444444429</v>
      </c>
      <c r="AK121" s="98">
        <f t="shared" si="82"/>
        <v>18.058936755960534</v>
      </c>
      <c r="AL121" s="98">
        <f t="shared" si="83"/>
        <v>12.92</v>
      </c>
      <c r="AM121" s="98">
        <f t="shared" si="84"/>
        <v>0.35594999999999999</v>
      </c>
      <c r="AN121" s="101">
        <f t="shared" si="66"/>
        <v>13.27595</v>
      </c>
      <c r="AO121" s="100">
        <f t="shared" si="85"/>
        <v>1.5031406795925608</v>
      </c>
      <c r="AP121" s="98">
        <f t="shared" si="86"/>
        <v>0.13702500000000001</v>
      </c>
      <c r="AQ121" s="101">
        <f t="shared" si="87"/>
        <v>9.8999999999999991E-3</v>
      </c>
      <c r="AR121" s="100">
        <f t="shared" si="67"/>
        <v>40.636115470192813</v>
      </c>
      <c r="AS121" s="98">
        <f t="shared" si="68"/>
        <v>760</v>
      </c>
      <c r="AT121" s="101">
        <f t="shared" si="69"/>
        <v>94.92452130437205</v>
      </c>
    </row>
    <row r="122" spans="17:46" x14ac:dyDescent="0.25">
      <c r="Q122" s="32">
        <v>115</v>
      </c>
      <c r="R122" s="100">
        <f t="shared" si="45"/>
        <v>100</v>
      </c>
      <c r="S122" s="98">
        <f t="shared" si="73"/>
        <v>7.666666666666667</v>
      </c>
      <c r="T122" s="98">
        <f t="shared" si="47"/>
        <v>22</v>
      </c>
      <c r="U122" s="101">
        <f t="shared" si="74"/>
        <v>38.72053872053872</v>
      </c>
      <c r="V122" s="100">
        <f t="shared" si="75"/>
        <v>2</v>
      </c>
      <c r="W122" s="98">
        <f t="shared" si="76"/>
        <v>0.78</v>
      </c>
      <c r="X122" s="101">
        <f t="shared" si="77"/>
        <v>0.21999999999999997</v>
      </c>
      <c r="Y122" s="100">
        <f t="shared" si="78"/>
        <v>10.43161094224924</v>
      </c>
      <c r="Z122" s="98">
        <f t="shared" si="71"/>
        <v>43.936344191663338</v>
      </c>
      <c r="AA122" s="98">
        <f t="shared" si="72"/>
        <v>38.837460366416117</v>
      </c>
      <c r="AB122" s="98">
        <v>0</v>
      </c>
      <c r="AC122" s="98">
        <f t="shared" si="79"/>
        <v>1.6742666437613667</v>
      </c>
      <c r="AD122" s="101">
        <f t="shared" si="62"/>
        <v>1.6742666437613667</v>
      </c>
      <c r="AE122" s="100">
        <f t="shared" si="70"/>
        <v>30.202020202020201</v>
      </c>
      <c r="AF122" s="98">
        <f t="shared" si="63"/>
        <v>34.300316261167261</v>
      </c>
      <c r="AG122" s="98">
        <f t="shared" si="80"/>
        <v>5.5296049693956482</v>
      </c>
      <c r="AH122" s="98">
        <f t="shared" si="81"/>
        <v>18.793641213558228</v>
      </c>
      <c r="AI122" s="101">
        <f t="shared" si="64"/>
        <v>24.323246182953877</v>
      </c>
      <c r="AJ122" s="100">
        <f t="shared" si="65"/>
        <v>8.5185185185185173</v>
      </c>
      <c r="AK122" s="98">
        <f t="shared" si="82"/>
        <v>18.216383617415595</v>
      </c>
      <c r="AL122" s="98">
        <f t="shared" si="83"/>
        <v>13.033333333333333</v>
      </c>
      <c r="AM122" s="98">
        <f t="shared" si="84"/>
        <v>0.35594999999999999</v>
      </c>
      <c r="AN122" s="101">
        <f t="shared" si="66"/>
        <v>13.389283333333333</v>
      </c>
      <c r="AO122" s="100">
        <f t="shared" si="85"/>
        <v>1.5294652043009238</v>
      </c>
      <c r="AP122" s="98">
        <f t="shared" si="86"/>
        <v>0.13702500000000001</v>
      </c>
      <c r="AQ122" s="101">
        <f t="shared" si="87"/>
        <v>9.8999999999999991E-3</v>
      </c>
      <c r="AR122" s="100">
        <f t="shared" si="67"/>
        <v>41.063186364349505</v>
      </c>
      <c r="AS122" s="98">
        <f t="shared" si="68"/>
        <v>766.66666666666674</v>
      </c>
      <c r="AT122" s="101">
        <f t="shared" si="69"/>
        <v>94.916222768013427</v>
      </c>
    </row>
    <row r="123" spans="17:46" x14ac:dyDescent="0.25">
      <c r="Q123" s="32">
        <v>116</v>
      </c>
      <c r="R123" s="100">
        <f t="shared" si="45"/>
        <v>100</v>
      </c>
      <c r="S123" s="98">
        <f t="shared" si="73"/>
        <v>7.7333333333333334</v>
      </c>
      <c r="T123" s="98">
        <f t="shared" si="47"/>
        <v>22</v>
      </c>
      <c r="U123" s="101">
        <f t="shared" si="74"/>
        <v>39.057239057239059</v>
      </c>
      <c r="V123" s="100">
        <f t="shared" si="75"/>
        <v>2</v>
      </c>
      <c r="W123" s="98">
        <f t="shared" si="76"/>
        <v>0.78</v>
      </c>
      <c r="X123" s="101">
        <f t="shared" si="77"/>
        <v>0.21999999999999997</v>
      </c>
      <c r="Y123" s="100">
        <f t="shared" si="78"/>
        <v>10.43161094224924</v>
      </c>
      <c r="Z123" s="98">
        <f t="shared" si="71"/>
        <v>44.273044528363677</v>
      </c>
      <c r="AA123" s="98">
        <f t="shared" si="72"/>
        <v>39.17315575337944</v>
      </c>
      <c r="AB123" s="98">
        <v>0</v>
      </c>
      <c r="AC123" s="98">
        <f t="shared" si="79"/>
        <v>1.7033351061631625</v>
      </c>
      <c r="AD123" s="101">
        <f t="shared" si="62"/>
        <v>1.7033351061631625</v>
      </c>
      <c r="AE123" s="100">
        <f t="shared" si="70"/>
        <v>30.464646464646467</v>
      </c>
      <c r="AF123" s="98">
        <f t="shared" si="63"/>
        <v>34.596794399326207</v>
      </c>
      <c r="AG123" s="98">
        <f t="shared" si="80"/>
        <v>5.6256094587334715</v>
      </c>
      <c r="AH123" s="98">
        <f t="shared" si="81"/>
        <v>18.957064180632649</v>
      </c>
      <c r="AI123" s="101">
        <f t="shared" si="64"/>
        <v>24.582673639366121</v>
      </c>
      <c r="AJ123" s="100">
        <f t="shared" si="65"/>
        <v>8.5925925925925917</v>
      </c>
      <c r="AK123" s="98">
        <f t="shared" si="82"/>
        <v>18.373838710766876</v>
      </c>
      <c r="AL123" s="98">
        <f t="shared" si="83"/>
        <v>13.146666666666667</v>
      </c>
      <c r="AM123" s="98">
        <f t="shared" si="84"/>
        <v>0.35594999999999999</v>
      </c>
      <c r="AN123" s="101">
        <f t="shared" si="66"/>
        <v>13.502616666666666</v>
      </c>
      <c r="AO123" s="100">
        <f t="shared" si="85"/>
        <v>1.5560196375220241</v>
      </c>
      <c r="AP123" s="98">
        <f t="shared" si="86"/>
        <v>0.13702500000000001</v>
      </c>
      <c r="AQ123" s="101">
        <f t="shared" si="87"/>
        <v>9.8999999999999991E-3</v>
      </c>
      <c r="AR123" s="100">
        <f t="shared" si="67"/>
        <v>41.491570049717971</v>
      </c>
      <c r="AS123" s="98">
        <f t="shared" si="68"/>
        <v>773.33333333333337</v>
      </c>
      <c r="AT123" s="101">
        <f t="shared" si="69"/>
        <v>94.907915813882198</v>
      </c>
    </row>
    <row r="124" spans="17:46" x14ac:dyDescent="0.25">
      <c r="Q124" s="32">
        <v>117</v>
      </c>
      <c r="R124" s="100">
        <f t="shared" si="45"/>
        <v>100</v>
      </c>
      <c r="S124" s="98">
        <f t="shared" si="73"/>
        <v>7.8</v>
      </c>
      <c r="T124" s="98">
        <f t="shared" si="47"/>
        <v>22</v>
      </c>
      <c r="U124" s="101">
        <f t="shared" si="74"/>
        <v>39.393939393939391</v>
      </c>
      <c r="V124" s="100">
        <f t="shared" si="75"/>
        <v>2</v>
      </c>
      <c r="W124" s="98">
        <f t="shared" si="76"/>
        <v>0.78</v>
      </c>
      <c r="X124" s="101">
        <f t="shared" si="77"/>
        <v>0.21999999999999997</v>
      </c>
      <c r="Y124" s="100">
        <f t="shared" si="78"/>
        <v>10.43161094224924</v>
      </c>
      <c r="Z124" s="98">
        <f t="shared" si="71"/>
        <v>44.609744865064009</v>
      </c>
      <c r="AA124" s="98">
        <f t="shared" si="72"/>
        <v>39.508868243440922</v>
      </c>
      <c r="AB124" s="98">
        <v>0</v>
      </c>
      <c r="AC124" s="98">
        <f t="shared" si="79"/>
        <v>1.732655243564108</v>
      </c>
      <c r="AD124" s="101">
        <f t="shared" si="62"/>
        <v>1.732655243564108</v>
      </c>
      <c r="AE124" s="100">
        <f t="shared" si="70"/>
        <v>30.727272727272727</v>
      </c>
      <c r="AF124" s="98">
        <f t="shared" si="63"/>
        <v>34.893287642532449</v>
      </c>
      <c r="AG124" s="98">
        <f t="shared" si="80"/>
        <v>5.7224451557711875</v>
      </c>
      <c r="AH124" s="98">
        <f t="shared" si="81"/>
        <v>19.120487147707067</v>
      </c>
      <c r="AI124" s="101">
        <f t="shared" si="64"/>
        <v>24.842932303478253</v>
      </c>
      <c r="AJ124" s="100">
        <f t="shared" si="65"/>
        <v>8.6666666666666643</v>
      </c>
      <c r="AK124" s="98">
        <f t="shared" si="82"/>
        <v>18.531301826182268</v>
      </c>
      <c r="AL124" s="98">
        <f t="shared" si="83"/>
        <v>13.26</v>
      </c>
      <c r="AM124" s="98">
        <f t="shared" si="84"/>
        <v>0.35594999999999999</v>
      </c>
      <c r="AN124" s="101">
        <f t="shared" si="66"/>
        <v>13.61595</v>
      </c>
      <c r="AO124" s="100">
        <f t="shared" si="85"/>
        <v>1.5828039792558601</v>
      </c>
      <c r="AP124" s="98">
        <f t="shared" si="86"/>
        <v>0.13702500000000001</v>
      </c>
      <c r="AQ124" s="101">
        <f t="shared" si="87"/>
        <v>9.8999999999999991E-3</v>
      </c>
      <c r="AR124" s="100">
        <f t="shared" si="67"/>
        <v>41.921266526298226</v>
      </c>
      <c r="AS124" s="98">
        <f t="shared" si="68"/>
        <v>780</v>
      </c>
      <c r="AT124" s="101">
        <f t="shared" si="69"/>
        <v>94.899600699776158</v>
      </c>
    </row>
    <row r="125" spans="17:46" x14ac:dyDescent="0.25">
      <c r="Q125" s="32">
        <v>118</v>
      </c>
      <c r="R125" s="100">
        <f t="shared" si="45"/>
        <v>100</v>
      </c>
      <c r="S125" s="98">
        <f t="shared" si="73"/>
        <v>7.8666666666666663</v>
      </c>
      <c r="T125" s="98">
        <f t="shared" si="47"/>
        <v>22</v>
      </c>
      <c r="U125" s="101">
        <f t="shared" si="74"/>
        <v>39.73063973063973</v>
      </c>
      <c r="V125" s="100">
        <f t="shared" si="75"/>
        <v>2</v>
      </c>
      <c r="W125" s="98">
        <f t="shared" si="76"/>
        <v>0.78</v>
      </c>
      <c r="X125" s="101">
        <f t="shared" si="77"/>
        <v>0.21999999999999997</v>
      </c>
      <c r="Y125" s="100">
        <f t="shared" si="78"/>
        <v>10.43161094224924</v>
      </c>
      <c r="Z125" s="98">
        <f t="shared" si="71"/>
        <v>44.946445201764348</v>
      </c>
      <c r="AA125" s="98">
        <f t="shared" si="72"/>
        <v>39.844597404291747</v>
      </c>
      <c r="AB125" s="98">
        <v>0</v>
      </c>
      <c r="AC125" s="98">
        <f t="shared" si="79"/>
        <v>1.762227055964203</v>
      </c>
      <c r="AD125" s="101">
        <f t="shared" si="62"/>
        <v>1.762227055964203</v>
      </c>
      <c r="AE125" s="100">
        <f t="shared" si="70"/>
        <v>30.98989898989899</v>
      </c>
      <c r="AF125" s="98">
        <f t="shared" si="63"/>
        <v>35.189795608981193</v>
      </c>
      <c r="AG125" s="98">
        <f t="shared" si="80"/>
        <v>5.8201120605087988</v>
      </c>
      <c r="AH125" s="98">
        <f t="shared" si="81"/>
        <v>19.283910114781488</v>
      </c>
      <c r="AI125" s="101">
        <f t="shared" si="64"/>
        <v>25.104022175290286</v>
      </c>
      <c r="AJ125" s="100">
        <f t="shared" si="65"/>
        <v>8.7407407407407387</v>
      </c>
      <c r="AK125" s="98">
        <f t="shared" si="82"/>
        <v>18.68877276089097</v>
      </c>
      <c r="AL125" s="98">
        <f t="shared" si="83"/>
        <v>13.373333333333333</v>
      </c>
      <c r="AM125" s="98">
        <f t="shared" si="84"/>
        <v>0.35594999999999999</v>
      </c>
      <c r="AN125" s="101">
        <f t="shared" si="66"/>
        <v>13.729283333333333</v>
      </c>
      <c r="AO125" s="100">
        <f t="shared" si="85"/>
        <v>1.6098182295024335</v>
      </c>
      <c r="AP125" s="98">
        <f t="shared" si="86"/>
        <v>0.13702500000000001</v>
      </c>
      <c r="AQ125" s="101">
        <f t="shared" si="87"/>
        <v>9.8999999999999991E-3</v>
      </c>
      <c r="AR125" s="100">
        <f t="shared" si="67"/>
        <v>42.352275794090261</v>
      </c>
      <c r="AS125" s="98">
        <f t="shared" si="68"/>
        <v>786.66666666666663</v>
      </c>
      <c r="AT125" s="101">
        <f t="shared" si="69"/>
        <v>94.89127767474443</v>
      </c>
    </row>
    <row r="126" spans="17:46" x14ac:dyDescent="0.25">
      <c r="Q126" s="32">
        <v>119</v>
      </c>
      <c r="R126" s="100">
        <f t="shared" si="45"/>
        <v>100</v>
      </c>
      <c r="S126" s="98">
        <f t="shared" si="73"/>
        <v>7.9333333333333336</v>
      </c>
      <c r="T126" s="98">
        <f t="shared" si="47"/>
        <v>22</v>
      </c>
      <c r="U126" s="101">
        <f t="shared" si="74"/>
        <v>40.067340067340069</v>
      </c>
      <c r="V126" s="100">
        <f t="shared" si="75"/>
        <v>2</v>
      </c>
      <c r="W126" s="98">
        <f t="shared" si="76"/>
        <v>0.78</v>
      </c>
      <c r="X126" s="101">
        <f t="shared" si="77"/>
        <v>0.21999999999999997</v>
      </c>
      <c r="Y126" s="100">
        <f t="shared" si="78"/>
        <v>10.43161094224924</v>
      </c>
      <c r="Z126" s="98">
        <f t="shared" si="71"/>
        <v>45.283145538464687</v>
      </c>
      <c r="AA126" s="98">
        <f t="shared" si="72"/>
        <v>40.180342818050711</v>
      </c>
      <c r="AB126" s="98">
        <v>0</v>
      </c>
      <c r="AC126" s="98">
        <f t="shared" si="79"/>
        <v>1.7920505433634484</v>
      </c>
      <c r="AD126" s="101">
        <f t="shared" si="62"/>
        <v>1.7920505433634484</v>
      </c>
      <c r="AE126" s="100">
        <f t="shared" si="70"/>
        <v>31.252525252525256</v>
      </c>
      <c r="AF126" s="98">
        <f t="shared" si="63"/>
        <v>35.486317929609747</v>
      </c>
      <c r="AG126" s="98">
        <f t="shared" si="80"/>
        <v>5.918610172946309</v>
      </c>
      <c r="AH126" s="98">
        <f t="shared" si="81"/>
        <v>19.447333081855906</v>
      </c>
      <c r="AI126" s="101">
        <f t="shared" si="64"/>
        <v>25.365943254802215</v>
      </c>
      <c r="AJ126" s="100">
        <f t="shared" si="65"/>
        <v>8.8148148148148149</v>
      </c>
      <c r="AK126" s="98">
        <f t="shared" si="82"/>
        <v>18.846251318889319</v>
      </c>
      <c r="AL126" s="98">
        <f t="shared" si="83"/>
        <v>13.486666666666666</v>
      </c>
      <c r="AM126" s="98">
        <f t="shared" si="84"/>
        <v>0.35594999999999999</v>
      </c>
      <c r="AN126" s="101">
        <f t="shared" si="66"/>
        <v>13.842616666666666</v>
      </c>
      <c r="AO126" s="100">
        <f t="shared" si="85"/>
        <v>1.6370623882617448</v>
      </c>
      <c r="AP126" s="98">
        <f t="shared" si="86"/>
        <v>0.13702500000000001</v>
      </c>
      <c r="AQ126" s="101">
        <f t="shared" si="87"/>
        <v>9.8999999999999991E-3</v>
      </c>
      <c r="AR126" s="100">
        <f t="shared" si="67"/>
        <v>42.784597853094084</v>
      </c>
      <c r="AS126" s="98">
        <f t="shared" si="68"/>
        <v>793.33333333333337</v>
      </c>
      <c r="AT126" s="101">
        <f t="shared" si="69"/>
        <v>94.882946979454928</v>
      </c>
    </row>
    <row r="127" spans="17:46" x14ac:dyDescent="0.25">
      <c r="Q127" s="32">
        <v>120</v>
      </c>
      <c r="R127" s="100">
        <f t="shared" si="45"/>
        <v>100</v>
      </c>
      <c r="S127" s="98">
        <f t="shared" si="73"/>
        <v>8</v>
      </c>
      <c r="T127" s="98">
        <f t="shared" si="47"/>
        <v>22</v>
      </c>
      <c r="U127" s="101">
        <f t="shared" si="74"/>
        <v>40.404040404040401</v>
      </c>
      <c r="V127" s="100">
        <f t="shared" si="75"/>
        <v>2</v>
      </c>
      <c r="W127" s="98">
        <f t="shared" si="76"/>
        <v>0.78</v>
      </c>
      <c r="X127" s="101">
        <f t="shared" si="77"/>
        <v>0.21999999999999997</v>
      </c>
      <c r="Y127" s="100">
        <f t="shared" si="78"/>
        <v>10.43161094224924</v>
      </c>
      <c r="Z127" s="98">
        <f t="shared" si="71"/>
        <v>45.619845875165019</v>
      </c>
      <c r="AA127" s="98">
        <f t="shared" si="72"/>
        <v>40.516104080668143</v>
      </c>
      <c r="AB127" s="98">
        <v>0</v>
      </c>
      <c r="AC127" s="98">
        <f t="shared" si="79"/>
        <v>1.8221257057618427</v>
      </c>
      <c r="AD127" s="101">
        <f t="shared" si="62"/>
        <v>1.8221257057618427</v>
      </c>
      <c r="AE127" s="100">
        <f t="shared" si="70"/>
        <v>31.515151515151516</v>
      </c>
      <c r="AF127" s="98">
        <f t="shared" si="63"/>
        <v>35.782854247571088</v>
      </c>
      <c r="AG127" s="98">
        <f t="shared" si="80"/>
        <v>6.0179394930837056</v>
      </c>
      <c r="AH127" s="98">
        <f t="shared" si="81"/>
        <v>19.610756048930327</v>
      </c>
      <c r="AI127" s="101">
        <f t="shared" si="64"/>
        <v>25.628695542014032</v>
      </c>
      <c r="AJ127" s="100">
        <f t="shared" si="65"/>
        <v>8.8888888888888875</v>
      </c>
      <c r="AK127" s="98">
        <f t="shared" si="82"/>
        <v>19.003737310661222</v>
      </c>
      <c r="AL127" s="98">
        <f t="shared" si="83"/>
        <v>13.6</v>
      </c>
      <c r="AM127" s="98">
        <f t="shared" si="84"/>
        <v>0.35594999999999999</v>
      </c>
      <c r="AN127" s="101">
        <f t="shared" si="66"/>
        <v>13.95595</v>
      </c>
      <c r="AO127" s="100">
        <f t="shared" si="85"/>
        <v>1.6645364555337909</v>
      </c>
      <c r="AP127" s="98">
        <f t="shared" si="86"/>
        <v>0.13702500000000001</v>
      </c>
      <c r="AQ127" s="101">
        <f t="shared" si="87"/>
        <v>9.8999999999999991E-3</v>
      </c>
      <c r="AR127" s="100">
        <f t="shared" si="67"/>
        <v>43.218232703309667</v>
      </c>
      <c r="AS127" s="98">
        <f t="shared" si="68"/>
        <v>800</v>
      </c>
      <c r="AT127" s="101">
        <f t="shared" si="69"/>
        <v>94.874608846543268</v>
      </c>
    </row>
    <row r="128" spans="17:46" x14ac:dyDescent="0.25">
      <c r="Q128" s="32">
        <v>121</v>
      </c>
      <c r="R128" s="100">
        <f t="shared" si="45"/>
        <v>100</v>
      </c>
      <c r="S128" s="98">
        <f t="shared" si="73"/>
        <v>8.0666666666666664</v>
      </c>
      <c r="T128" s="98">
        <f t="shared" si="47"/>
        <v>22</v>
      </c>
      <c r="U128" s="101">
        <f t="shared" si="74"/>
        <v>40.74074074074074</v>
      </c>
      <c r="V128" s="100">
        <f t="shared" si="75"/>
        <v>2</v>
      </c>
      <c r="W128" s="98">
        <f t="shared" si="76"/>
        <v>0.78</v>
      </c>
      <c r="X128" s="101">
        <f t="shared" si="77"/>
        <v>0.21999999999999997</v>
      </c>
      <c r="Y128" s="100">
        <f t="shared" si="78"/>
        <v>10.43161094224924</v>
      </c>
      <c r="Z128" s="98">
        <f t="shared" si="71"/>
        <v>45.956546211865358</v>
      </c>
      <c r="AA128" s="98">
        <f t="shared" si="72"/>
        <v>40.851880801359158</v>
      </c>
      <c r="AB128" s="98">
        <v>0</v>
      </c>
      <c r="AC128" s="98">
        <f t="shared" si="79"/>
        <v>1.8524525431593875</v>
      </c>
      <c r="AD128" s="101">
        <f t="shared" si="62"/>
        <v>1.8524525431593875</v>
      </c>
      <c r="AE128" s="100">
        <f t="shared" si="70"/>
        <v>31.777777777777779</v>
      </c>
      <c r="AF128" s="98">
        <f t="shared" si="63"/>
        <v>36.079404217733369</v>
      </c>
      <c r="AG128" s="98">
        <f t="shared" si="80"/>
        <v>6.1181000209210037</v>
      </c>
      <c r="AH128" s="98">
        <f t="shared" si="81"/>
        <v>19.774179016004748</v>
      </c>
      <c r="AI128" s="101">
        <f t="shared" si="64"/>
        <v>25.89227903692575</v>
      </c>
      <c r="AJ128" s="100">
        <f t="shared" si="65"/>
        <v>8.9629629629629619</v>
      </c>
      <c r="AK128" s="98">
        <f t="shared" si="82"/>
        <v>19.161230552912318</v>
      </c>
      <c r="AL128" s="98">
        <f t="shared" si="83"/>
        <v>13.713333333333333</v>
      </c>
      <c r="AM128" s="98">
        <f t="shared" si="84"/>
        <v>0.35594999999999999</v>
      </c>
      <c r="AN128" s="101">
        <f t="shared" si="66"/>
        <v>14.069283333333333</v>
      </c>
      <c r="AO128" s="100">
        <f t="shared" si="85"/>
        <v>1.6922404313185753</v>
      </c>
      <c r="AP128" s="98">
        <f t="shared" si="86"/>
        <v>0.13702500000000001</v>
      </c>
      <c r="AQ128" s="101">
        <f t="shared" si="87"/>
        <v>9.8999999999999991E-3</v>
      </c>
      <c r="AR128" s="100">
        <f t="shared" si="67"/>
        <v>43.653180344737045</v>
      </c>
      <c r="AS128" s="98">
        <f t="shared" si="68"/>
        <v>806.66666666666663</v>
      </c>
      <c r="AT128" s="101">
        <f t="shared" si="69"/>
        <v>94.866263500944541</v>
      </c>
    </row>
    <row r="129" spans="17:46" x14ac:dyDescent="0.25">
      <c r="Q129" s="32">
        <v>122</v>
      </c>
      <c r="R129" s="100">
        <f t="shared" si="45"/>
        <v>100</v>
      </c>
      <c r="S129" s="98">
        <f t="shared" si="73"/>
        <v>8.1333333333333329</v>
      </c>
      <c r="T129" s="98">
        <f t="shared" si="47"/>
        <v>22</v>
      </c>
      <c r="U129" s="101">
        <f t="shared" si="74"/>
        <v>41.077441077441073</v>
      </c>
      <c r="V129" s="100">
        <f t="shared" si="75"/>
        <v>2</v>
      </c>
      <c r="W129" s="98">
        <f t="shared" si="76"/>
        <v>0.78</v>
      </c>
      <c r="X129" s="101">
        <f t="shared" si="77"/>
        <v>0.21999999999999997</v>
      </c>
      <c r="Y129" s="100">
        <f t="shared" si="78"/>
        <v>10.43161094224924</v>
      </c>
      <c r="Z129" s="98">
        <f t="shared" si="71"/>
        <v>46.293246548565691</v>
      </c>
      <c r="AA129" s="98">
        <f t="shared" si="72"/>
        <v>41.187672602064417</v>
      </c>
      <c r="AB129" s="98">
        <v>0</v>
      </c>
      <c r="AC129" s="98">
        <f t="shared" si="79"/>
        <v>1.8830310555560812</v>
      </c>
      <c r="AD129" s="101">
        <f t="shared" si="62"/>
        <v>1.8830310555560812</v>
      </c>
      <c r="AE129" s="100">
        <f t="shared" si="70"/>
        <v>32.040404040404034</v>
      </c>
      <c r="AF129" s="98">
        <f t="shared" si="63"/>
        <v>36.375967506203615</v>
      </c>
      <c r="AG129" s="98">
        <f t="shared" si="80"/>
        <v>6.2190917564581918</v>
      </c>
      <c r="AH129" s="98">
        <f t="shared" si="81"/>
        <v>19.937601983079162</v>
      </c>
      <c r="AI129" s="101">
        <f t="shared" si="64"/>
        <v>26.156693739537353</v>
      </c>
      <c r="AJ129" s="100">
        <f t="shared" si="65"/>
        <v>9.0370370370370345</v>
      </c>
      <c r="AK129" s="98">
        <f t="shared" si="82"/>
        <v>19.318730868317058</v>
      </c>
      <c r="AL129" s="98">
        <f t="shared" si="83"/>
        <v>13.826666666666666</v>
      </c>
      <c r="AM129" s="98">
        <f t="shared" si="84"/>
        <v>0.35594999999999999</v>
      </c>
      <c r="AN129" s="101">
        <f t="shared" si="66"/>
        <v>14.182616666666666</v>
      </c>
      <c r="AO129" s="100">
        <f t="shared" si="85"/>
        <v>1.7201743156160954</v>
      </c>
      <c r="AP129" s="98">
        <f t="shared" si="86"/>
        <v>0.13702500000000001</v>
      </c>
      <c r="AQ129" s="101">
        <f t="shared" si="87"/>
        <v>9.8999999999999991E-3</v>
      </c>
      <c r="AR129" s="100">
        <f t="shared" si="67"/>
        <v>44.089440777376197</v>
      </c>
      <c r="AS129" s="98">
        <f t="shared" si="68"/>
        <v>813.33333333333326</v>
      </c>
      <c r="AT129" s="101">
        <f t="shared" si="69"/>
        <v>94.857911160208644</v>
      </c>
    </row>
    <row r="130" spans="17:46" x14ac:dyDescent="0.25">
      <c r="Q130" s="32">
        <v>123</v>
      </c>
      <c r="R130" s="100">
        <f t="shared" si="45"/>
        <v>100</v>
      </c>
      <c r="S130" s="98">
        <f t="shared" si="73"/>
        <v>8.1999999999999993</v>
      </c>
      <c r="T130" s="98">
        <f t="shared" si="47"/>
        <v>22</v>
      </c>
      <c r="U130" s="101">
        <f t="shared" si="74"/>
        <v>41.414141414141405</v>
      </c>
      <c r="V130" s="100">
        <f t="shared" si="75"/>
        <v>2</v>
      </c>
      <c r="W130" s="98">
        <f t="shared" si="76"/>
        <v>0.78</v>
      </c>
      <c r="X130" s="101">
        <f t="shared" si="77"/>
        <v>0.21999999999999997</v>
      </c>
      <c r="Y130" s="100">
        <f t="shared" si="78"/>
        <v>10.43161094224924</v>
      </c>
      <c r="Z130" s="98">
        <f t="shared" si="71"/>
        <v>46.629946885266023</v>
      </c>
      <c r="AA130" s="98">
        <f t="shared" si="72"/>
        <v>41.52347911693704</v>
      </c>
      <c r="AB130" s="98">
        <v>0</v>
      </c>
      <c r="AC130" s="98">
        <f t="shared" si="79"/>
        <v>1.9138612429519244</v>
      </c>
      <c r="AD130" s="101">
        <f t="shared" si="62"/>
        <v>1.9138612429519244</v>
      </c>
      <c r="AE130" s="100">
        <f t="shared" si="70"/>
        <v>32.303030303030297</v>
      </c>
      <c r="AF130" s="98">
        <f t="shared" si="63"/>
        <v>36.672543789874616</v>
      </c>
      <c r="AG130" s="98">
        <f t="shared" si="80"/>
        <v>6.3209146996952752</v>
      </c>
      <c r="AH130" s="98">
        <f t="shared" si="81"/>
        <v>20.10102495015358</v>
      </c>
      <c r="AI130" s="101">
        <f t="shared" si="64"/>
        <v>26.421939649848856</v>
      </c>
      <c r="AJ130" s="100">
        <f t="shared" si="65"/>
        <v>9.1111111111111072</v>
      </c>
      <c r="AK130" s="98">
        <f t="shared" si="82"/>
        <v>19.476238085278055</v>
      </c>
      <c r="AL130" s="98">
        <f t="shared" si="83"/>
        <v>13.939999999999998</v>
      </c>
      <c r="AM130" s="98">
        <f t="shared" si="84"/>
        <v>0.35594999999999999</v>
      </c>
      <c r="AN130" s="101">
        <f t="shared" si="66"/>
        <v>14.295949999999998</v>
      </c>
      <c r="AO130" s="100">
        <f t="shared" si="85"/>
        <v>1.7483381084263525</v>
      </c>
      <c r="AP130" s="98">
        <f t="shared" si="86"/>
        <v>0.13702500000000001</v>
      </c>
      <c r="AQ130" s="101">
        <f t="shared" si="87"/>
        <v>9.8999999999999991E-3</v>
      </c>
      <c r="AR130" s="100">
        <f t="shared" si="67"/>
        <v>44.527014001227137</v>
      </c>
      <c r="AS130" s="98">
        <f t="shared" si="68"/>
        <v>819.99999999999989</v>
      </c>
      <c r="AT130" s="101">
        <f t="shared" si="69"/>
        <v>94.849552034800382</v>
      </c>
    </row>
    <row r="131" spans="17:46" x14ac:dyDescent="0.25">
      <c r="Q131" s="32">
        <v>124</v>
      </c>
      <c r="R131" s="100">
        <f t="shared" si="45"/>
        <v>100</v>
      </c>
      <c r="S131" s="98">
        <f t="shared" si="73"/>
        <v>8.2666666666666657</v>
      </c>
      <c r="T131" s="98">
        <f t="shared" si="47"/>
        <v>22</v>
      </c>
      <c r="U131" s="101">
        <f t="shared" si="74"/>
        <v>41.750841750841744</v>
      </c>
      <c r="V131" s="100">
        <f t="shared" si="75"/>
        <v>2</v>
      </c>
      <c r="W131" s="98">
        <f t="shared" si="76"/>
        <v>0.78</v>
      </c>
      <c r="X131" s="101">
        <f t="shared" si="77"/>
        <v>0.21999999999999997</v>
      </c>
      <c r="Y131" s="100">
        <f t="shared" si="78"/>
        <v>10.43161094224924</v>
      </c>
      <c r="Z131" s="98">
        <f t="shared" si="71"/>
        <v>46.966647221966362</v>
      </c>
      <c r="AA131" s="98">
        <f t="shared" si="72"/>
        <v>41.859299991854073</v>
      </c>
      <c r="AB131" s="98">
        <v>0</v>
      </c>
      <c r="AC131" s="98">
        <f t="shared" si="79"/>
        <v>1.9449431053469184</v>
      </c>
      <c r="AD131" s="101">
        <f t="shared" si="62"/>
        <v>1.9449431053469184</v>
      </c>
      <c r="AE131" s="100">
        <f t="shared" si="70"/>
        <v>32.56565656565656</v>
      </c>
      <c r="AF131" s="98">
        <f t="shared" si="63"/>
        <v>36.969132755993435</v>
      </c>
      <c r="AG131" s="98">
        <f t="shared" si="80"/>
        <v>6.4235688506322539</v>
      </c>
      <c r="AH131" s="98">
        <f t="shared" si="81"/>
        <v>20.264447917228001</v>
      </c>
      <c r="AI131" s="101">
        <f t="shared" si="64"/>
        <v>26.688016767860255</v>
      </c>
      <c r="AJ131" s="100">
        <f t="shared" si="65"/>
        <v>9.1851851851851833</v>
      </c>
      <c r="AK131" s="98">
        <f t="shared" si="82"/>
        <v>19.633752037696908</v>
      </c>
      <c r="AL131" s="98">
        <f t="shared" si="83"/>
        <v>14.053333333333331</v>
      </c>
      <c r="AM131" s="98">
        <f t="shared" si="84"/>
        <v>0.35594999999999999</v>
      </c>
      <c r="AN131" s="101">
        <f t="shared" si="66"/>
        <v>14.409283333333331</v>
      </c>
      <c r="AO131" s="100">
        <f t="shared" si="85"/>
        <v>1.7767318097493465</v>
      </c>
      <c r="AP131" s="98">
        <f t="shared" si="86"/>
        <v>0.13702500000000001</v>
      </c>
      <c r="AQ131" s="101">
        <f t="shared" si="87"/>
        <v>9.8999999999999991E-3</v>
      </c>
      <c r="AR131" s="100">
        <f t="shared" si="67"/>
        <v>44.965900016289851</v>
      </c>
      <c r="AS131" s="98">
        <f t="shared" si="68"/>
        <v>826.66666666666652</v>
      </c>
      <c r="AT131" s="101">
        <f t="shared" si="69"/>
        <v>94.841186328384907</v>
      </c>
    </row>
    <row r="132" spans="17:46" x14ac:dyDescent="0.25">
      <c r="Q132" s="32">
        <v>125</v>
      </c>
      <c r="R132" s="100">
        <f t="shared" si="45"/>
        <v>100</v>
      </c>
      <c r="S132" s="98">
        <f t="shared" si="73"/>
        <v>8.3333333333333339</v>
      </c>
      <c r="T132" s="98">
        <f t="shared" si="47"/>
        <v>22</v>
      </c>
      <c r="U132" s="101">
        <f t="shared" si="74"/>
        <v>42.08754208754209</v>
      </c>
      <c r="V132" s="100">
        <f t="shared" si="75"/>
        <v>2</v>
      </c>
      <c r="W132" s="98">
        <f t="shared" si="76"/>
        <v>0.78</v>
      </c>
      <c r="X132" s="101">
        <f t="shared" si="77"/>
        <v>0.21999999999999997</v>
      </c>
      <c r="Y132" s="100">
        <f t="shared" si="78"/>
        <v>10.43161094224924</v>
      </c>
      <c r="Z132" s="98">
        <f t="shared" si="71"/>
        <v>47.303347558666708</v>
      </c>
      <c r="AA132" s="98">
        <f t="shared" si="72"/>
        <v>42.195134883951155</v>
      </c>
      <c r="AB132" s="98">
        <v>0</v>
      </c>
      <c r="AC132" s="98">
        <f t="shared" si="79"/>
        <v>1.9762766427410634</v>
      </c>
      <c r="AD132" s="101">
        <f t="shared" si="62"/>
        <v>1.9762766427410634</v>
      </c>
      <c r="AE132" s="100">
        <f t="shared" si="70"/>
        <v>32.828282828282831</v>
      </c>
      <c r="AF132" s="98">
        <f t="shared" si="63"/>
        <v>37.265734101750475</v>
      </c>
      <c r="AG132" s="98">
        <f t="shared" si="80"/>
        <v>6.5270542092691315</v>
      </c>
      <c r="AH132" s="98">
        <f t="shared" si="81"/>
        <v>20.427870884302425</v>
      </c>
      <c r="AI132" s="101">
        <f t="shared" si="64"/>
        <v>26.954925093571557</v>
      </c>
      <c r="AJ132" s="100">
        <f t="shared" si="65"/>
        <v>9.2592592592592595</v>
      </c>
      <c r="AK132" s="98">
        <f t="shared" si="82"/>
        <v>19.791272564755982</v>
      </c>
      <c r="AL132" s="98">
        <f t="shared" si="83"/>
        <v>14.166666666666668</v>
      </c>
      <c r="AM132" s="98">
        <f t="shared" si="84"/>
        <v>0.35594999999999999</v>
      </c>
      <c r="AN132" s="101">
        <f t="shared" si="66"/>
        <v>14.522616666666668</v>
      </c>
      <c r="AO132" s="100">
        <f t="shared" si="85"/>
        <v>1.8053554195850787</v>
      </c>
      <c r="AP132" s="98">
        <f t="shared" si="86"/>
        <v>0.13702500000000001</v>
      </c>
      <c r="AQ132" s="101">
        <f t="shared" si="87"/>
        <v>9.8999999999999991E-3</v>
      </c>
      <c r="AR132" s="100">
        <f t="shared" si="67"/>
        <v>45.406098822564374</v>
      </c>
      <c r="AS132" s="98">
        <f t="shared" si="68"/>
        <v>833.33333333333337</v>
      </c>
      <c r="AT132" s="101">
        <f t="shared" si="69"/>
        <v>94.832814238099559</v>
      </c>
    </row>
    <row r="133" spans="17:46" x14ac:dyDescent="0.25">
      <c r="Q133" s="32">
        <v>126</v>
      </c>
      <c r="R133" s="100">
        <f t="shared" si="45"/>
        <v>100</v>
      </c>
      <c r="S133" s="98">
        <f t="shared" si="73"/>
        <v>8.4</v>
      </c>
      <c r="T133" s="98">
        <f t="shared" si="47"/>
        <v>22</v>
      </c>
      <c r="U133" s="101">
        <f t="shared" si="74"/>
        <v>42.424242424242422</v>
      </c>
      <c r="V133" s="100">
        <f t="shared" si="75"/>
        <v>2</v>
      </c>
      <c r="W133" s="98">
        <f t="shared" si="76"/>
        <v>0.78</v>
      </c>
      <c r="X133" s="101">
        <f t="shared" si="77"/>
        <v>0.21999999999999997</v>
      </c>
      <c r="Y133" s="100">
        <f t="shared" si="78"/>
        <v>10.43161094224924</v>
      </c>
      <c r="Z133" s="98">
        <f t="shared" si="71"/>
        <v>47.64004789536704</v>
      </c>
      <c r="AA133" s="98">
        <f t="shared" si="72"/>
        <v>42.530983461179154</v>
      </c>
      <c r="AB133" s="98">
        <v>0</v>
      </c>
      <c r="AC133" s="98">
        <f t="shared" si="79"/>
        <v>2.0078618551343554</v>
      </c>
      <c r="AD133" s="101">
        <f t="shared" si="62"/>
        <v>2.0078618551343554</v>
      </c>
      <c r="AE133" s="100">
        <f t="shared" si="70"/>
        <v>33.090909090909093</v>
      </c>
      <c r="AF133" s="98">
        <f t="shared" si="63"/>
        <v>37.562347533887902</v>
      </c>
      <c r="AG133" s="98">
        <f t="shared" si="80"/>
        <v>6.6313707756059008</v>
      </c>
      <c r="AH133" s="98">
        <f t="shared" si="81"/>
        <v>20.591293851376843</v>
      </c>
      <c r="AI133" s="101">
        <f t="shared" si="64"/>
        <v>27.222664626982745</v>
      </c>
      <c r="AJ133" s="100">
        <f t="shared" si="65"/>
        <v>9.3333333333333321</v>
      </c>
      <c r="AK133" s="98">
        <f t="shared" si="82"/>
        <v>19.948799510710437</v>
      </c>
      <c r="AL133" s="98">
        <f t="shared" si="83"/>
        <v>14.28</v>
      </c>
      <c r="AM133" s="98">
        <f t="shared" si="84"/>
        <v>0.35594999999999999</v>
      </c>
      <c r="AN133" s="101">
        <f t="shared" si="66"/>
        <v>14.635949999999999</v>
      </c>
      <c r="AO133" s="100">
        <f t="shared" si="85"/>
        <v>1.8342089379335469</v>
      </c>
      <c r="AP133" s="98">
        <f t="shared" si="86"/>
        <v>0.13702500000000001</v>
      </c>
      <c r="AQ133" s="101">
        <f t="shared" si="87"/>
        <v>9.8999999999999991E-3</v>
      </c>
      <c r="AR133" s="100">
        <f t="shared" si="67"/>
        <v>45.847610420050657</v>
      </c>
      <c r="AS133" s="98">
        <f t="shared" si="68"/>
        <v>840</v>
      </c>
      <c r="AT133" s="101">
        <f t="shared" si="69"/>
        <v>94.824435954812742</v>
      </c>
    </row>
    <row r="134" spans="17:46" x14ac:dyDescent="0.25">
      <c r="Q134" s="32">
        <v>127</v>
      </c>
      <c r="R134" s="100">
        <f t="shared" si="45"/>
        <v>100</v>
      </c>
      <c r="S134" s="98">
        <f t="shared" si="73"/>
        <v>8.4666666666666668</v>
      </c>
      <c r="T134" s="98">
        <f t="shared" si="47"/>
        <v>22</v>
      </c>
      <c r="U134" s="101">
        <f t="shared" si="74"/>
        <v>42.760942760942754</v>
      </c>
      <c r="V134" s="100">
        <f t="shared" si="75"/>
        <v>2</v>
      </c>
      <c r="W134" s="98">
        <f t="shared" si="76"/>
        <v>0.78</v>
      </c>
      <c r="X134" s="101">
        <f t="shared" si="77"/>
        <v>0.21999999999999997</v>
      </c>
      <c r="Y134" s="100">
        <f t="shared" si="78"/>
        <v>10.43161094224924</v>
      </c>
      <c r="Z134" s="98">
        <f t="shared" si="71"/>
        <v>47.976748232067372</v>
      </c>
      <c r="AA134" s="98">
        <f t="shared" si="72"/>
        <v>42.866845401881712</v>
      </c>
      <c r="AB134" s="98">
        <v>0</v>
      </c>
      <c r="AC134" s="98">
        <f t="shared" si="79"/>
        <v>2.0396987425267983</v>
      </c>
      <c r="AD134" s="101">
        <f t="shared" si="62"/>
        <v>2.0396987425267983</v>
      </c>
      <c r="AE134" s="100">
        <f t="shared" si="70"/>
        <v>33.353535353535349</v>
      </c>
      <c r="AF134" s="98">
        <f t="shared" si="63"/>
        <v>37.858972768326467</v>
      </c>
      <c r="AG134" s="98">
        <f t="shared" si="80"/>
        <v>6.7365185496425593</v>
      </c>
      <c r="AH134" s="98">
        <f t="shared" si="81"/>
        <v>20.754716818451257</v>
      </c>
      <c r="AI134" s="101">
        <f t="shared" si="64"/>
        <v>27.491235368093818</v>
      </c>
      <c r="AJ134" s="100">
        <f t="shared" si="65"/>
        <v>9.4074074074074048</v>
      </c>
      <c r="AK134" s="98">
        <f t="shared" si="82"/>
        <v>20.106332724690045</v>
      </c>
      <c r="AL134" s="98">
        <f t="shared" si="83"/>
        <v>14.393333333333333</v>
      </c>
      <c r="AM134" s="98">
        <f t="shared" si="84"/>
        <v>0.35594999999999999</v>
      </c>
      <c r="AN134" s="101">
        <f t="shared" si="66"/>
        <v>14.749283333333333</v>
      </c>
      <c r="AO134" s="100">
        <f t="shared" si="85"/>
        <v>1.8632923647947504</v>
      </c>
      <c r="AP134" s="98">
        <f t="shared" si="86"/>
        <v>0.13702500000000001</v>
      </c>
      <c r="AQ134" s="101">
        <f t="shared" si="87"/>
        <v>9.8999999999999991E-3</v>
      </c>
      <c r="AR134" s="100">
        <f t="shared" si="67"/>
        <v>46.290434808748699</v>
      </c>
      <c r="AS134" s="98">
        <f t="shared" si="68"/>
        <v>846.66666666666663</v>
      </c>
      <c r="AT134" s="101">
        <f t="shared" si="69"/>
        <v>94.816051663370615</v>
      </c>
    </row>
    <row r="135" spans="17:46" x14ac:dyDescent="0.25">
      <c r="Q135" s="32">
        <v>128</v>
      </c>
      <c r="R135" s="100">
        <f t="shared" ref="R135:R157" si="88">VOUT</f>
        <v>100</v>
      </c>
      <c r="S135" s="98">
        <f t="shared" ref="S135:S157" si="89">Q135*$O$12</f>
        <v>8.5333333333333332</v>
      </c>
      <c r="T135" s="98">
        <f t="shared" ref="T135:T157" si="90">VIN_var</f>
        <v>22</v>
      </c>
      <c r="U135" s="101">
        <f t="shared" ref="U135:U157" si="91">(R135*S135)/(T135*EFF_est)</f>
        <v>43.0976430976431</v>
      </c>
      <c r="V135" s="100">
        <f t="shared" ref="V135:V157" si="92">IF((S135*R135/T135)&lt;((T135*(1-(T135/R135)))/(2*Lm*Fsw)),1,2)</f>
        <v>2</v>
      </c>
      <c r="W135" s="98">
        <f t="shared" ref="W135:W157" si="93">CHOOSE(V135,SQRT((2*S135*Lm*Fsw*(R135-T135))/((T135)^2)),1-(T135/R135))</f>
        <v>0.78</v>
      </c>
      <c r="X135" s="101">
        <f t="shared" ref="X135:X157" si="94">CHOOSE(V135,(Lm*W135*Fsw)/(R135-T135),1-W135)</f>
        <v>0.21999999999999997</v>
      </c>
      <c r="Y135" s="100">
        <f t="shared" ref="Y135:Y157" si="95">(T135*W135)/(Lm*Fsw)</f>
        <v>10.43161094224924</v>
      </c>
      <c r="Z135" s="98">
        <f t="shared" si="71"/>
        <v>48.313448568767718</v>
      </c>
      <c r="AA135" s="98">
        <f t="shared" si="72"/>
        <v>43.202720394392166</v>
      </c>
      <c r="AB135" s="98">
        <v>0</v>
      </c>
      <c r="AC135" s="98">
        <f t="shared" ref="AC135:AC157" si="96">(AA135^2)*Rdcr</f>
        <v>2.0717873049183919</v>
      </c>
      <c r="AD135" s="101">
        <f t="shared" si="62"/>
        <v>2.0717873049183919</v>
      </c>
      <c r="AE135" s="100">
        <f t="shared" si="70"/>
        <v>33.616161616161619</v>
      </c>
      <c r="AF135" s="98">
        <f t="shared" si="63"/>
        <v>38.155609529809666</v>
      </c>
      <c r="AG135" s="98">
        <f t="shared" ref="AG135:AG157" si="97">(AF135^2)*RDS_on</f>
        <v>6.842497531379121</v>
      </c>
      <c r="AH135" s="98">
        <f t="shared" ref="AH135:AH157" si="98">((R135*U135)/2)*Fsw*(tr_sw+tf_sw)</f>
        <v>20.918139785525685</v>
      </c>
      <c r="AI135" s="101">
        <f t="shared" si="64"/>
        <v>27.760637316904806</v>
      </c>
      <c r="AJ135" s="100">
        <f t="shared" si="65"/>
        <v>9.481481481481481</v>
      </c>
      <c r="AK135" s="98">
        <f t="shared" ref="AK135:AK157" si="99">CHOOSE(V135,Z135*SQRT(X135/3),SQRT(X135*((Z135^2)+((Y135^2)/3)-(Y135*Z135))))</f>
        <v>20.263872060510209</v>
      </c>
      <c r="AL135" s="98">
        <f t="shared" ref="AL135:AL157" si="100">S135*Vd_rect</f>
        <v>14.506666666666666</v>
      </c>
      <c r="AM135" s="98">
        <f t="shared" ref="AM135:AM157" si="101">CHOOSE(V135,(R135+Vd_rect)*Qrr*Fsw,(R135+Vd_rect)*Qrr*Fsw)</f>
        <v>0.35594999999999999</v>
      </c>
      <c r="AN135" s="101">
        <f t="shared" si="66"/>
        <v>14.862616666666666</v>
      </c>
      <c r="AO135" s="100">
        <f t="shared" ref="AO135:AO157" si="102">(AF135^2)*R_cs</f>
        <v>1.8926057001686929</v>
      </c>
      <c r="AP135" s="98">
        <f t="shared" ref="AP135:AP157" si="103">Qg_tot*Vcc*Fsw</f>
        <v>0.13702500000000001</v>
      </c>
      <c r="AQ135" s="101">
        <f t="shared" ref="AQ135:AQ157" si="104">IQ*T135</f>
        <v>9.8999999999999991E-3</v>
      </c>
      <c r="AR135" s="100">
        <f t="shared" si="67"/>
        <v>46.734571988658558</v>
      </c>
      <c r="AS135" s="98">
        <f t="shared" si="68"/>
        <v>853.33333333333337</v>
      </c>
      <c r="AT135" s="101">
        <f t="shared" si="69"/>
        <v>94.807661542832193</v>
      </c>
    </row>
    <row r="136" spans="17:46" x14ac:dyDescent="0.25">
      <c r="Q136" s="32">
        <v>129</v>
      </c>
      <c r="R136" s="100">
        <f t="shared" si="88"/>
        <v>100</v>
      </c>
      <c r="S136" s="98">
        <f t="shared" si="89"/>
        <v>8.6</v>
      </c>
      <c r="T136" s="98">
        <f t="shared" si="90"/>
        <v>22</v>
      </c>
      <c r="U136" s="101">
        <f t="shared" si="91"/>
        <v>43.434343434343432</v>
      </c>
      <c r="V136" s="100">
        <f t="shared" si="92"/>
        <v>2</v>
      </c>
      <c r="W136" s="98">
        <f t="shared" si="93"/>
        <v>0.78</v>
      </c>
      <c r="X136" s="101">
        <f t="shared" si="94"/>
        <v>0.21999999999999997</v>
      </c>
      <c r="Y136" s="100">
        <f t="shared" si="95"/>
        <v>10.43161094224924</v>
      </c>
      <c r="Z136" s="98">
        <f t="shared" si="71"/>
        <v>48.65014890546805</v>
      </c>
      <c r="AA136" s="98">
        <f t="shared" si="72"/>
        <v>43.538608136649209</v>
      </c>
      <c r="AB136" s="98">
        <v>0</v>
      </c>
      <c r="AC136" s="98">
        <f t="shared" si="96"/>
        <v>2.1041275423091337</v>
      </c>
      <c r="AD136" s="101">
        <f t="shared" ref="AD136:AD157" si="105">AB136+AC136</f>
        <v>2.1041275423091337</v>
      </c>
      <c r="AE136" s="100">
        <f t="shared" si="70"/>
        <v>33.878787878787875</v>
      </c>
      <c r="AF136" s="98">
        <f t="shared" ref="AF136:AF157" si="106">CHOOSE(V136,Z136*SQRT(W136/3),SQRT(W136*((Z136^2)+((Y136^2)/3)-(Z136*Y136))))</f>
        <v>38.452257551564166</v>
      </c>
      <c r="AG136" s="98">
        <f t="shared" si="97"/>
        <v>6.94930772081557</v>
      </c>
      <c r="AH136" s="98">
        <f t="shared" si="98"/>
        <v>21.081562752600099</v>
      </c>
      <c r="AI136" s="101">
        <f t="shared" ref="AI136:AI157" si="107">AG136+AH136</f>
        <v>28.030870473415668</v>
      </c>
      <c r="AJ136" s="100">
        <f t="shared" ref="AJ136:AJ156" si="108">X136*U136</f>
        <v>9.5555555555555536</v>
      </c>
      <c r="AK136" s="98">
        <f t="shared" si="99"/>
        <v>20.421417376491604</v>
      </c>
      <c r="AL136" s="98">
        <f t="shared" si="100"/>
        <v>14.62</v>
      </c>
      <c r="AM136" s="98">
        <f t="shared" si="101"/>
        <v>0.35594999999999999</v>
      </c>
      <c r="AN136" s="101">
        <f t="shared" ref="AN136:AN157" si="109">AL136+AM136</f>
        <v>14.975949999999999</v>
      </c>
      <c r="AO136" s="100">
        <f t="shared" si="102"/>
        <v>1.9221489440553703</v>
      </c>
      <c r="AP136" s="98">
        <f t="shared" si="103"/>
        <v>0.13702500000000001</v>
      </c>
      <c r="AQ136" s="101">
        <f t="shared" si="104"/>
        <v>9.8999999999999991E-3</v>
      </c>
      <c r="AR136" s="100">
        <f t="shared" ref="AR136:AR157" si="110">AO136+AN136+AI136+AD136+AP136+AQ136</f>
        <v>47.180021959780177</v>
      </c>
      <c r="AS136" s="98">
        <f t="shared" ref="AS136:AS157" si="111">R136*S136</f>
        <v>860</v>
      </c>
      <c r="AT136" s="101">
        <f t="shared" ref="AT136:AT156" si="112">(AS136/(AS136+AR136))*100</f>
        <v>94.799265766693438</v>
      </c>
    </row>
    <row r="137" spans="17:46" x14ac:dyDescent="0.25">
      <c r="Q137" s="32">
        <v>130</v>
      </c>
      <c r="R137" s="100">
        <f t="shared" si="88"/>
        <v>100</v>
      </c>
      <c r="S137" s="98">
        <f t="shared" si="89"/>
        <v>8.6666666666666661</v>
      </c>
      <c r="T137" s="98">
        <f t="shared" si="90"/>
        <v>22</v>
      </c>
      <c r="U137" s="101">
        <f t="shared" si="91"/>
        <v>43.771043771043765</v>
      </c>
      <c r="V137" s="100">
        <f t="shared" si="92"/>
        <v>2</v>
      </c>
      <c r="W137" s="98">
        <f t="shared" si="93"/>
        <v>0.78</v>
      </c>
      <c r="X137" s="101">
        <f t="shared" si="94"/>
        <v>0.21999999999999997</v>
      </c>
      <c r="Y137" s="100">
        <f t="shared" si="95"/>
        <v>10.43161094224924</v>
      </c>
      <c r="Z137" s="98">
        <f t="shared" si="71"/>
        <v>48.986849242168383</v>
      </c>
      <c r="AA137" s="98">
        <f t="shared" si="72"/>
        <v>43.8745083358302</v>
      </c>
      <c r="AB137" s="98">
        <v>0</v>
      </c>
      <c r="AC137" s="98">
        <f t="shared" si="96"/>
        <v>2.1367194546990258</v>
      </c>
      <c r="AD137" s="101">
        <f t="shared" si="105"/>
        <v>2.1367194546990258</v>
      </c>
      <c r="AE137" s="100">
        <f t="shared" ref="AE137:AE157" si="113">U137*W137</f>
        <v>34.141414141414138</v>
      </c>
      <c r="AF137" s="98">
        <f t="shared" si="106"/>
        <v>38.748916574976008</v>
      </c>
      <c r="AG137" s="98">
        <f t="shared" si="97"/>
        <v>7.056949117951917</v>
      </c>
      <c r="AH137" s="98">
        <f t="shared" si="98"/>
        <v>21.244985719674521</v>
      </c>
      <c r="AI137" s="101">
        <f t="shared" si="107"/>
        <v>28.301934837626437</v>
      </c>
      <c r="AJ137" s="100">
        <f t="shared" si="108"/>
        <v>9.6296296296296262</v>
      </c>
      <c r="AK137" s="98">
        <f t="shared" si="99"/>
        <v>20.57896853528824</v>
      </c>
      <c r="AL137" s="98">
        <f t="shared" si="100"/>
        <v>14.733333333333333</v>
      </c>
      <c r="AM137" s="98">
        <f t="shared" si="101"/>
        <v>0.35594999999999999</v>
      </c>
      <c r="AN137" s="101">
        <f t="shared" si="109"/>
        <v>15.089283333333332</v>
      </c>
      <c r="AO137" s="100">
        <f t="shared" si="102"/>
        <v>1.9519220964547854</v>
      </c>
      <c r="AP137" s="98">
        <f t="shared" si="103"/>
        <v>0.13702500000000001</v>
      </c>
      <c r="AQ137" s="101">
        <f t="shared" si="104"/>
        <v>9.8999999999999991E-3</v>
      </c>
      <c r="AR137" s="100">
        <f t="shared" si="110"/>
        <v>47.626784722113584</v>
      </c>
      <c r="AS137" s="98">
        <f t="shared" si="111"/>
        <v>866.66666666666663</v>
      </c>
      <c r="AT137" s="101">
        <f t="shared" si="112"/>
        <v>94.790864503101261</v>
      </c>
    </row>
    <row r="138" spans="17:46" x14ac:dyDescent="0.25">
      <c r="Q138" s="32">
        <v>131</v>
      </c>
      <c r="R138" s="100">
        <f t="shared" si="88"/>
        <v>100</v>
      </c>
      <c r="S138" s="98">
        <f t="shared" si="89"/>
        <v>8.7333333333333325</v>
      </c>
      <c r="T138" s="98">
        <f t="shared" si="90"/>
        <v>22</v>
      </c>
      <c r="U138" s="101">
        <f t="shared" si="91"/>
        <v>44.107744107744104</v>
      </c>
      <c r="V138" s="100">
        <f t="shared" si="92"/>
        <v>2</v>
      </c>
      <c r="W138" s="98">
        <f t="shared" si="93"/>
        <v>0.78</v>
      </c>
      <c r="X138" s="101">
        <f t="shared" si="94"/>
        <v>0.21999999999999997</v>
      </c>
      <c r="Y138" s="100">
        <f t="shared" si="95"/>
        <v>10.43161094224924</v>
      </c>
      <c r="Z138" s="98">
        <f t="shared" si="71"/>
        <v>49.323549578868722</v>
      </c>
      <c r="AA138" s="98">
        <f t="shared" si="72"/>
        <v>44.210420708000953</v>
      </c>
      <c r="AB138" s="98">
        <v>0</v>
      </c>
      <c r="AC138" s="98">
        <f t="shared" si="96"/>
        <v>2.1695630420880678</v>
      </c>
      <c r="AD138" s="101">
        <f t="shared" si="105"/>
        <v>2.1695630420880678</v>
      </c>
      <c r="AE138" s="100">
        <f t="shared" si="113"/>
        <v>34.404040404040401</v>
      </c>
      <c r="AF138" s="98">
        <f t="shared" si="106"/>
        <v>39.045586349281308</v>
      </c>
      <c r="AG138" s="98">
        <f t="shared" si="97"/>
        <v>7.1654217227881594</v>
      </c>
      <c r="AH138" s="98">
        <f t="shared" si="98"/>
        <v>21.408408686748938</v>
      </c>
      <c r="AI138" s="101">
        <f t="shared" si="107"/>
        <v>28.573830409537099</v>
      </c>
      <c r="AJ138" s="100">
        <f t="shared" si="108"/>
        <v>9.7037037037037024</v>
      </c>
      <c r="AK138" s="98">
        <f t="shared" si="99"/>
        <v>20.736525403723174</v>
      </c>
      <c r="AL138" s="98">
        <f t="shared" si="100"/>
        <v>14.846666666666664</v>
      </c>
      <c r="AM138" s="98">
        <f t="shared" si="101"/>
        <v>0.35594999999999999</v>
      </c>
      <c r="AN138" s="101">
        <f t="shared" si="109"/>
        <v>15.202616666666664</v>
      </c>
      <c r="AO138" s="100">
        <f t="shared" si="102"/>
        <v>1.9819251573669374</v>
      </c>
      <c r="AP138" s="98">
        <f t="shared" si="103"/>
        <v>0.13702500000000001</v>
      </c>
      <c r="AQ138" s="101">
        <f t="shared" si="104"/>
        <v>9.8999999999999991E-3</v>
      </c>
      <c r="AR138" s="100">
        <f t="shared" si="110"/>
        <v>48.074860275658764</v>
      </c>
      <c r="AS138" s="98">
        <f t="shared" si="111"/>
        <v>873.33333333333326</v>
      </c>
      <c r="AT138" s="101">
        <f t="shared" si="112"/>
        <v>94.782457915057378</v>
      </c>
    </row>
    <row r="139" spans="17:46" x14ac:dyDescent="0.25">
      <c r="Q139" s="32">
        <v>132</v>
      </c>
      <c r="R139" s="100">
        <f t="shared" si="88"/>
        <v>100</v>
      </c>
      <c r="S139" s="98">
        <f t="shared" si="89"/>
        <v>8.8000000000000007</v>
      </c>
      <c r="T139" s="98">
        <f t="shared" si="90"/>
        <v>22</v>
      </c>
      <c r="U139" s="101">
        <f t="shared" si="91"/>
        <v>44.44444444444445</v>
      </c>
      <c r="V139" s="100">
        <f t="shared" si="92"/>
        <v>2</v>
      </c>
      <c r="W139" s="98">
        <f t="shared" si="93"/>
        <v>0.78</v>
      </c>
      <c r="X139" s="101">
        <f t="shared" si="94"/>
        <v>0.21999999999999997</v>
      </c>
      <c r="Y139" s="100">
        <f t="shared" si="95"/>
        <v>10.43161094224924</v>
      </c>
      <c r="Z139" s="98">
        <f t="shared" si="71"/>
        <v>49.660249915569068</v>
      </c>
      <c r="AA139" s="98">
        <f t="shared" si="72"/>
        <v>44.546344977781438</v>
      </c>
      <c r="AB139" s="98">
        <v>0</v>
      </c>
      <c r="AC139" s="98">
        <f t="shared" si="96"/>
        <v>2.2026583044762602</v>
      </c>
      <c r="AD139" s="101">
        <f t="shared" si="105"/>
        <v>2.2026583044762602</v>
      </c>
      <c r="AE139" s="100">
        <f t="shared" si="113"/>
        <v>34.666666666666671</v>
      </c>
      <c r="AF139" s="98">
        <f t="shared" si="106"/>
        <v>39.342266631271016</v>
      </c>
      <c r="AG139" s="98">
        <f t="shared" si="97"/>
        <v>7.2747255353242979</v>
      </c>
      <c r="AH139" s="98">
        <f t="shared" si="98"/>
        <v>21.571831653823363</v>
      </c>
      <c r="AI139" s="101">
        <f t="shared" si="107"/>
        <v>28.84655718914766</v>
      </c>
      <c r="AJ139" s="100">
        <f t="shared" si="108"/>
        <v>9.7777777777777786</v>
      </c>
      <c r="AK139" s="98">
        <f t="shared" si="99"/>
        <v>20.894087852631735</v>
      </c>
      <c r="AL139" s="98">
        <f t="shared" si="100"/>
        <v>14.96</v>
      </c>
      <c r="AM139" s="98">
        <f t="shared" si="101"/>
        <v>0.35594999999999999</v>
      </c>
      <c r="AN139" s="101">
        <f t="shared" si="109"/>
        <v>15.315950000000001</v>
      </c>
      <c r="AO139" s="100">
        <f t="shared" si="102"/>
        <v>2.0121581267918272</v>
      </c>
      <c r="AP139" s="98">
        <f t="shared" si="103"/>
        <v>0.13702500000000001</v>
      </c>
      <c r="AQ139" s="101">
        <f t="shared" si="104"/>
        <v>9.8999999999999991E-3</v>
      </c>
      <c r="AR139" s="100">
        <f t="shared" si="110"/>
        <v>48.524248620415754</v>
      </c>
      <c r="AS139" s="98">
        <f t="shared" si="111"/>
        <v>880.00000000000011</v>
      </c>
      <c r="AT139" s="101">
        <f t="shared" si="112"/>
        <v>94.774046160613238</v>
      </c>
    </row>
    <row r="140" spans="17:46" x14ac:dyDescent="0.25">
      <c r="Q140" s="32">
        <v>133</v>
      </c>
      <c r="R140" s="100">
        <f t="shared" si="88"/>
        <v>100</v>
      </c>
      <c r="S140" s="98">
        <f t="shared" si="89"/>
        <v>8.8666666666666671</v>
      </c>
      <c r="T140" s="98">
        <f t="shared" si="90"/>
        <v>22</v>
      </c>
      <c r="U140" s="101">
        <f t="shared" si="91"/>
        <v>44.781144781144782</v>
      </c>
      <c r="V140" s="100">
        <f t="shared" si="92"/>
        <v>2</v>
      </c>
      <c r="W140" s="98">
        <f t="shared" si="93"/>
        <v>0.78</v>
      </c>
      <c r="X140" s="101">
        <f t="shared" si="94"/>
        <v>0.21999999999999997</v>
      </c>
      <c r="Y140" s="100">
        <f t="shared" si="95"/>
        <v>10.43161094224924</v>
      </c>
      <c r="Z140" s="98">
        <f t="shared" si="71"/>
        <v>49.9969502522694</v>
      </c>
      <c r="AA140" s="98">
        <f t="shared" si="72"/>
        <v>44.882280878026407</v>
      </c>
      <c r="AB140" s="98">
        <v>0</v>
      </c>
      <c r="AC140" s="98">
        <f t="shared" si="96"/>
        <v>2.2360052418636012</v>
      </c>
      <c r="AD140" s="101">
        <f t="shared" si="105"/>
        <v>2.2360052418636012</v>
      </c>
      <c r="AE140" s="100">
        <f t="shared" si="113"/>
        <v>34.929292929292934</v>
      </c>
      <c r="AF140" s="98">
        <f t="shared" si="106"/>
        <v>39.638957185008827</v>
      </c>
      <c r="AG140" s="98">
        <f t="shared" si="97"/>
        <v>7.3848605555603264</v>
      </c>
      <c r="AH140" s="98">
        <f t="shared" si="98"/>
        <v>21.735254620897781</v>
      </c>
      <c r="AI140" s="101">
        <f t="shared" si="107"/>
        <v>29.120115176458107</v>
      </c>
      <c r="AJ140" s="100">
        <f t="shared" si="108"/>
        <v>9.8518518518518512</v>
      </c>
      <c r="AK140" s="98">
        <f t="shared" si="99"/>
        <v>21.051655756711678</v>
      </c>
      <c r="AL140" s="98">
        <f t="shared" si="100"/>
        <v>15.073333333333334</v>
      </c>
      <c r="AM140" s="98">
        <f t="shared" si="101"/>
        <v>0.35594999999999999</v>
      </c>
      <c r="AN140" s="101">
        <f t="shared" si="109"/>
        <v>15.429283333333334</v>
      </c>
      <c r="AO140" s="100">
        <f t="shared" si="102"/>
        <v>2.0426210047294515</v>
      </c>
      <c r="AP140" s="98">
        <f t="shared" si="103"/>
        <v>0.13702500000000001</v>
      </c>
      <c r="AQ140" s="101">
        <f t="shared" si="104"/>
        <v>9.8999999999999991E-3</v>
      </c>
      <c r="AR140" s="100">
        <f t="shared" si="110"/>
        <v>48.974949756384497</v>
      </c>
      <c r="AS140" s="98">
        <f t="shared" si="111"/>
        <v>886.66666666666674</v>
      </c>
      <c r="AT140" s="101">
        <f t="shared" si="112"/>
        <v>94.765629393055946</v>
      </c>
    </row>
    <row r="141" spans="17:46" x14ac:dyDescent="0.25">
      <c r="Q141" s="32">
        <v>134</v>
      </c>
      <c r="R141" s="100">
        <f t="shared" si="88"/>
        <v>100</v>
      </c>
      <c r="S141" s="98">
        <f t="shared" si="89"/>
        <v>8.9333333333333336</v>
      </c>
      <c r="T141" s="98">
        <f t="shared" si="90"/>
        <v>22</v>
      </c>
      <c r="U141" s="101">
        <f t="shared" si="91"/>
        <v>45.117845117845121</v>
      </c>
      <c r="V141" s="100">
        <f t="shared" si="92"/>
        <v>2</v>
      </c>
      <c r="W141" s="98">
        <f t="shared" si="93"/>
        <v>0.78</v>
      </c>
      <c r="X141" s="101">
        <f t="shared" si="94"/>
        <v>0.21999999999999997</v>
      </c>
      <c r="Y141" s="100">
        <f t="shared" si="95"/>
        <v>10.43161094224924</v>
      </c>
      <c r="Z141" s="98">
        <f t="shared" si="71"/>
        <v>50.333650588969739</v>
      </c>
      <c r="AA141" s="98">
        <f t="shared" si="72"/>
        <v>45.21822814952025</v>
      </c>
      <c r="AB141" s="98">
        <v>0</v>
      </c>
      <c r="AC141" s="98">
        <f t="shared" si="96"/>
        <v>2.2696038542500929</v>
      </c>
      <c r="AD141" s="101">
        <f t="shared" si="105"/>
        <v>2.2696038542500929</v>
      </c>
      <c r="AE141" s="100">
        <f t="shared" si="113"/>
        <v>35.191919191919197</v>
      </c>
      <c r="AF141" s="98">
        <f t="shared" si="106"/>
        <v>39.935657781561716</v>
      </c>
      <c r="AG141" s="98">
        <f t="shared" si="97"/>
        <v>7.4958267834962511</v>
      </c>
      <c r="AH141" s="98">
        <f t="shared" si="98"/>
        <v>21.898677587972198</v>
      </c>
      <c r="AI141" s="101">
        <f t="shared" si="107"/>
        <v>29.39450437146845</v>
      </c>
      <c r="AJ141" s="100">
        <f t="shared" si="108"/>
        <v>9.9259259259259256</v>
      </c>
      <c r="AK141" s="98">
        <f t="shared" si="99"/>
        <v>21.209228994380119</v>
      </c>
      <c r="AL141" s="98">
        <f t="shared" si="100"/>
        <v>15.186666666666667</v>
      </c>
      <c r="AM141" s="98">
        <f t="shared" si="101"/>
        <v>0.35594999999999999</v>
      </c>
      <c r="AN141" s="101">
        <f t="shared" si="109"/>
        <v>15.542616666666667</v>
      </c>
      <c r="AO141" s="100">
        <f t="shared" si="102"/>
        <v>2.0733137911798138</v>
      </c>
      <c r="AP141" s="98">
        <f t="shared" si="103"/>
        <v>0.13702500000000001</v>
      </c>
      <c r="AQ141" s="101">
        <f t="shared" si="104"/>
        <v>9.8999999999999991E-3</v>
      </c>
      <c r="AR141" s="100">
        <f t="shared" si="110"/>
        <v>49.426963683565027</v>
      </c>
      <c r="AS141" s="98">
        <f t="shared" si="111"/>
        <v>893.33333333333337</v>
      </c>
      <c r="AT141" s="101">
        <f t="shared" si="112"/>
        <v>94.757207761085937</v>
      </c>
    </row>
    <row r="142" spans="17:46" x14ac:dyDescent="0.25">
      <c r="Q142" s="32">
        <v>135</v>
      </c>
      <c r="R142" s="100">
        <f t="shared" si="88"/>
        <v>100</v>
      </c>
      <c r="S142" s="98">
        <f t="shared" si="89"/>
        <v>9</v>
      </c>
      <c r="T142" s="98">
        <f t="shared" si="90"/>
        <v>22</v>
      </c>
      <c r="U142" s="101">
        <f t="shared" si="91"/>
        <v>45.454545454545453</v>
      </c>
      <c r="V142" s="100">
        <f t="shared" si="92"/>
        <v>2</v>
      </c>
      <c r="W142" s="98">
        <f t="shared" si="93"/>
        <v>0.78</v>
      </c>
      <c r="X142" s="101">
        <f t="shared" si="94"/>
        <v>0.21999999999999997</v>
      </c>
      <c r="Y142" s="100">
        <f t="shared" si="95"/>
        <v>10.43161094224924</v>
      </c>
      <c r="Z142" s="98">
        <f t="shared" si="71"/>
        <v>50.670350925670071</v>
      </c>
      <c r="AA142" s="98">
        <f t="shared" si="72"/>
        <v>45.55418654068518</v>
      </c>
      <c r="AB142" s="98">
        <v>0</v>
      </c>
      <c r="AC142" s="98">
        <f t="shared" si="96"/>
        <v>2.3034541416357324</v>
      </c>
      <c r="AD142" s="101">
        <f t="shared" si="105"/>
        <v>2.3034541416357324</v>
      </c>
      <c r="AE142" s="100">
        <f t="shared" si="113"/>
        <v>35.454545454545453</v>
      </c>
      <c r="AF142" s="98">
        <f t="shared" si="106"/>
        <v>40.232368198742215</v>
      </c>
      <c r="AG142" s="98">
        <f t="shared" si="97"/>
        <v>7.6076242191320711</v>
      </c>
      <c r="AH142" s="98">
        <f t="shared" si="98"/>
        <v>22.062100555046616</v>
      </c>
      <c r="AI142" s="101">
        <f t="shared" si="107"/>
        <v>29.669724774178686</v>
      </c>
      <c r="AJ142" s="100">
        <f t="shared" si="108"/>
        <v>9.9999999999999982</v>
      </c>
      <c r="AK142" s="98">
        <f t="shared" si="99"/>
        <v>21.366807447636614</v>
      </c>
      <c r="AL142" s="98">
        <f t="shared" si="100"/>
        <v>15.299999999999999</v>
      </c>
      <c r="AM142" s="98">
        <f t="shared" si="101"/>
        <v>0.35594999999999999</v>
      </c>
      <c r="AN142" s="101">
        <f t="shared" si="109"/>
        <v>15.655949999999999</v>
      </c>
      <c r="AO142" s="100">
        <f t="shared" si="102"/>
        <v>2.1042364861429133</v>
      </c>
      <c r="AP142" s="98">
        <f t="shared" si="103"/>
        <v>0.13702500000000001</v>
      </c>
      <c r="AQ142" s="101">
        <f t="shared" si="104"/>
        <v>9.8999999999999991E-3</v>
      </c>
      <c r="AR142" s="100">
        <f t="shared" si="110"/>
        <v>49.880290401957339</v>
      </c>
      <c r="AS142" s="98">
        <f t="shared" si="111"/>
        <v>900</v>
      </c>
      <c r="AT142" s="101">
        <f t="shared" si="112"/>
        <v>94.748781408986844</v>
      </c>
    </row>
    <row r="143" spans="17:46" x14ac:dyDescent="0.25">
      <c r="Q143" s="32">
        <v>136</v>
      </c>
      <c r="R143" s="100">
        <f t="shared" si="88"/>
        <v>100</v>
      </c>
      <c r="S143" s="98">
        <f t="shared" si="89"/>
        <v>9.0666666666666664</v>
      </c>
      <c r="T143" s="98">
        <f t="shared" si="90"/>
        <v>22</v>
      </c>
      <c r="U143" s="101">
        <f t="shared" si="91"/>
        <v>45.791245791245785</v>
      </c>
      <c r="V143" s="100">
        <f t="shared" si="92"/>
        <v>2</v>
      </c>
      <c r="W143" s="98">
        <f t="shared" si="93"/>
        <v>0.78</v>
      </c>
      <c r="X143" s="101">
        <f t="shared" si="94"/>
        <v>0.21999999999999997</v>
      </c>
      <c r="Y143" s="100">
        <f t="shared" si="95"/>
        <v>10.43161094224924</v>
      </c>
      <c r="Z143" s="98">
        <f t="shared" si="71"/>
        <v>51.007051262370403</v>
      </c>
      <c r="AA143" s="98">
        <f t="shared" si="72"/>
        <v>45.890155807302385</v>
      </c>
      <c r="AB143" s="98">
        <v>0</v>
      </c>
      <c r="AC143" s="98">
        <f t="shared" si="96"/>
        <v>2.3375561040205231</v>
      </c>
      <c r="AD143" s="101">
        <f t="shared" si="105"/>
        <v>2.3375561040205231</v>
      </c>
      <c r="AE143" s="100">
        <f t="shared" si="113"/>
        <v>35.717171717171716</v>
      </c>
      <c r="AF143" s="98">
        <f t="shared" si="106"/>
        <v>40.529088220862086</v>
      </c>
      <c r="AG143" s="98">
        <f t="shared" si="97"/>
        <v>7.7202528624677829</v>
      </c>
      <c r="AH143" s="98">
        <f t="shared" si="98"/>
        <v>22.225523522121033</v>
      </c>
      <c r="AI143" s="101">
        <f t="shared" si="107"/>
        <v>29.945776384588818</v>
      </c>
      <c r="AJ143" s="100">
        <f t="shared" si="108"/>
        <v>10.074074074074071</v>
      </c>
      <c r="AK143" s="98">
        <f t="shared" si="99"/>
        <v>21.524391001932379</v>
      </c>
      <c r="AL143" s="98">
        <f t="shared" si="100"/>
        <v>15.413333333333332</v>
      </c>
      <c r="AM143" s="98">
        <f t="shared" si="101"/>
        <v>0.35594999999999999</v>
      </c>
      <c r="AN143" s="101">
        <f t="shared" si="109"/>
        <v>15.769283333333332</v>
      </c>
      <c r="AO143" s="100">
        <f t="shared" si="102"/>
        <v>2.1353890896187484</v>
      </c>
      <c r="AP143" s="98">
        <f t="shared" si="103"/>
        <v>0.13702500000000001</v>
      </c>
      <c r="AQ143" s="101">
        <f t="shared" si="104"/>
        <v>9.8999999999999991E-3</v>
      </c>
      <c r="AR143" s="100">
        <f t="shared" si="110"/>
        <v>50.334929911561424</v>
      </c>
      <c r="AS143" s="98">
        <f t="shared" si="111"/>
        <v>906.66666666666663</v>
      </c>
      <c r="AT143" s="101">
        <f t="shared" si="112"/>
        <v>94.740350476787654</v>
      </c>
    </row>
    <row r="144" spans="17:46" x14ac:dyDescent="0.25">
      <c r="Q144" s="32">
        <v>137</v>
      </c>
      <c r="R144" s="100">
        <f t="shared" si="88"/>
        <v>100</v>
      </c>
      <c r="S144" s="98">
        <f t="shared" si="89"/>
        <v>9.1333333333333329</v>
      </c>
      <c r="T144" s="98">
        <f t="shared" si="90"/>
        <v>22</v>
      </c>
      <c r="U144" s="101">
        <f t="shared" si="91"/>
        <v>46.127946127946124</v>
      </c>
      <c r="V144" s="100">
        <f t="shared" si="92"/>
        <v>2</v>
      </c>
      <c r="W144" s="98">
        <f t="shared" si="93"/>
        <v>0.78</v>
      </c>
      <c r="X144" s="101">
        <f t="shared" si="94"/>
        <v>0.21999999999999997</v>
      </c>
      <c r="Y144" s="100">
        <f t="shared" si="95"/>
        <v>10.43161094224924</v>
      </c>
      <c r="Z144" s="98">
        <f t="shared" ref="Z144:Z157" si="114">CHOOSE(V144,Y144,U144+(0.5*Y144))</f>
        <v>51.343751599070742</v>
      </c>
      <c r="AA144" s="98">
        <f t="shared" ref="AA144:AA157" si="115">CHOOSE(V144,Z144*SQRT((W144+X144)/3),SQRT((U144^2)+((Y144^2)/12)))</f>
        <v>46.226135712245124</v>
      </c>
      <c r="AB144" s="98">
        <v>0</v>
      </c>
      <c r="AC144" s="98">
        <f t="shared" si="96"/>
        <v>2.3719097414044641</v>
      </c>
      <c r="AD144" s="101">
        <f t="shared" si="105"/>
        <v>2.3719097414044641</v>
      </c>
      <c r="AE144" s="100">
        <f t="shared" si="113"/>
        <v>35.979797979797979</v>
      </c>
      <c r="AF144" s="98">
        <f t="shared" si="106"/>
        <v>40.825817638496666</v>
      </c>
      <c r="AG144" s="98">
        <f t="shared" si="97"/>
        <v>7.8337127135033926</v>
      </c>
      <c r="AH144" s="98">
        <f t="shared" si="98"/>
        <v>22.388946489195455</v>
      </c>
      <c r="AI144" s="101">
        <f t="shared" si="107"/>
        <v>30.222659202698846</v>
      </c>
      <c r="AJ144" s="100">
        <f t="shared" si="108"/>
        <v>10.148148148148147</v>
      </c>
      <c r="AK144" s="98">
        <f t="shared" si="99"/>
        <v>21.681979546045117</v>
      </c>
      <c r="AL144" s="98">
        <f t="shared" si="100"/>
        <v>15.526666666666666</v>
      </c>
      <c r="AM144" s="98">
        <f t="shared" si="101"/>
        <v>0.35594999999999999</v>
      </c>
      <c r="AN144" s="101">
        <f t="shared" si="109"/>
        <v>15.882616666666665</v>
      </c>
      <c r="AO144" s="100">
        <f t="shared" si="102"/>
        <v>2.1667716016073211</v>
      </c>
      <c r="AP144" s="98">
        <f t="shared" si="103"/>
        <v>0.13702500000000001</v>
      </c>
      <c r="AQ144" s="101">
        <f t="shared" si="104"/>
        <v>9.8999999999999991E-3</v>
      </c>
      <c r="AR144" s="100">
        <f t="shared" si="110"/>
        <v>50.790882212377305</v>
      </c>
      <c r="AS144" s="98">
        <f t="shared" si="111"/>
        <v>913.33333333333326</v>
      </c>
      <c r="AT144" s="101">
        <f t="shared" si="112"/>
        <v>94.731915100417979</v>
      </c>
    </row>
    <row r="145" spans="17:46" x14ac:dyDescent="0.25">
      <c r="Q145" s="32">
        <v>138</v>
      </c>
      <c r="R145" s="100">
        <f t="shared" si="88"/>
        <v>100</v>
      </c>
      <c r="S145" s="98">
        <f t="shared" si="89"/>
        <v>9.1999999999999993</v>
      </c>
      <c r="T145" s="98">
        <f t="shared" si="90"/>
        <v>22</v>
      </c>
      <c r="U145" s="101">
        <f t="shared" si="91"/>
        <v>46.464646464646457</v>
      </c>
      <c r="V145" s="100">
        <f t="shared" si="92"/>
        <v>2</v>
      </c>
      <c r="W145" s="98">
        <f t="shared" si="93"/>
        <v>0.78</v>
      </c>
      <c r="X145" s="101">
        <f t="shared" si="94"/>
        <v>0.21999999999999997</v>
      </c>
      <c r="Y145" s="100">
        <f t="shared" si="95"/>
        <v>10.43161094224924</v>
      </c>
      <c r="Z145" s="98">
        <f t="shared" si="114"/>
        <v>51.680451935771075</v>
      </c>
      <c r="AA145" s="98">
        <f t="shared" si="115"/>
        <v>46.562126025223407</v>
      </c>
      <c r="AB145" s="98">
        <v>0</v>
      </c>
      <c r="AC145" s="98">
        <f t="shared" si="96"/>
        <v>2.4065150537875533</v>
      </c>
      <c r="AD145" s="101">
        <f t="shared" si="105"/>
        <v>2.4065150537875533</v>
      </c>
      <c r="AE145" s="100">
        <f t="shared" si="113"/>
        <v>36.242424242424235</v>
      </c>
      <c r="AF145" s="98">
        <f t="shared" si="106"/>
        <v>41.12255624825935</v>
      </c>
      <c r="AG145" s="98">
        <f t="shared" si="97"/>
        <v>7.948003772238895</v>
      </c>
      <c r="AH145" s="98">
        <f t="shared" si="98"/>
        <v>22.552369456269872</v>
      </c>
      <c r="AI145" s="101">
        <f t="shared" si="107"/>
        <v>30.500373228508767</v>
      </c>
      <c r="AJ145" s="100">
        <f t="shared" si="108"/>
        <v>10.22222222222222</v>
      </c>
      <c r="AK145" s="98">
        <f t="shared" si="99"/>
        <v>21.839572971959253</v>
      </c>
      <c r="AL145" s="98">
        <f t="shared" si="100"/>
        <v>15.639999999999999</v>
      </c>
      <c r="AM145" s="98">
        <f t="shared" si="101"/>
        <v>0.35594999999999999</v>
      </c>
      <c r="AN145" s="101">
        <f t="shared" si="109"/>
        <v>15.995949999999999</v>
      </c>
      <c r="AO145" s="100">
        <f t="shared" si="102"/>
        <v>2.1983840221086304</v>
      </c>
      <c r="AP145" s="98">
        <f t="shared" si="103"/>
        <v>0.13702500000000001</v>
      </c>
      <c r="AQ145" s="101">
        <f t="shared" si="104"/>
        <v>9.8999999999999991E-3</v>
      </c>
      <c r="AR145" s="100">
        <f t="shared" si="110"/>
        <v>51.248147304404952</v>
      </c>
      <c r="AS145" s="98">
        <f t="shared" si="111"/>
        <v>919.99999999999989</v>
      </c>
      <c r="AT145" s="101">
        <f t="shared" si="112"/>
        <v>94.723475411856512</v>
      </c>
    </row>
    <row r="146" spans="17:46" x14ac:dyDescent="0.25">
      <c r="Q146" s="32">
        <v>139</v>
      </c>
      <c r="R146" s="100">
        <f t="shared" si="88"/>
        <v>100</v>
      </c>
      <c r="S146" s="98">
        <f t="shared" si="89"/>
        <v>9.2666666666666657</v>
      </c>
      <c r="T146" s="98">
        <f t="shared" si="90"/>
        <v>22</v>
      </c>
      <c r="U146" s="101">
        <f t="shared" si="91"/>
        <v>46.801346801346789</v>
      </c>
      <c r="V146" s="100">
        <f t="shared" si="92"/>
        <v>2</v>
      </c>
      <c r="W146" s="98">
        <f t="shared" si="93"/>
        <v>0.78</v>
      </c>
      <c r="X146" s="101">
        <f t="shared" si="94"/>
        <v>0.21999999999999997</v>
      </c>
      <c r="Y146" s="100">
        <f t="shared" si="95"/>
        <v>10.43161094224924</v>
      </c>
      <c r="Z146" s="98">
        <f t="shared" si="114"/>
        <v>52.017152272471407</v>
      </c>
      <c r="AA146" s="98">
        <f t="shared" si="115"/>
        <v>46.898126522539656</v>
      </c>
      <c r="AB146" s="98">
        <v>0</v>
      </c>
      <c r="AC146" s="98">
        <f t="shared" si="96"/>
        <v>2.4413720411697928</v>
      </c>
      <c r="AD146" s="101">
        <f t="shared" si="105"/>
        <v>2.4413720411697928</v>
      </c>
      <c r="AE146" s="100">
        <f t="shared" si="113"/>
        <v>36.505050505050498</v>
      </c>
      <c r="AF146" s="98">
        <f t="shared" si="106"/>
        <v>41.419303852585784</v>
      </c>
      <c r="AG146" s="98">
        <f t="shared" si="97"/>
        <v>8.0631260386742909</v>
      </c>
      <c r="AH146" s="98">
        <f t="shared" si="98"/>
        <v>22.71579242334429</v>
      </c>
      <c r="AI146" s="101">
        <f t="shared" si="107"/>
        <v>30.778918462018581</v>
      </c>
      <c r="AJ146" s="100">
        <f t="shared" si="108"/>
        <v>10.296296296296292</v>
      </c>
      <c r="AK146" s="98">
        <f t="shared" si="99"/>
        <v>21.997171174751315</v>
      </c>
      <c r="AL146" s="98">
        <f t="shared" si="100"/>
        <v>15.753333333333332</v>
      </c>
      <c r="AM146" s="98">
        <f t="shared" si="101"/>
        <v>0.35594999999999999</v>
      </c>
      <c r="AN146" s="101">
        <f t="shared" si="109"/>
        <v>16.10928333333333</v>
      </c>
      <c r="AO146" s="100">
        <f t="shared" si="102"/>
        <v>2.2302263511226759</v>
      </c>
      <c r="AP146" s="98">
        <f t="shared" si="103"/>
        <v>0.13702500000000001</v>
      </c>
      <c r="AQ146" s="101">
        <f t="shared" si="104"/>
        <v>9.8999999999999991E-3</v>
      </c>
      <c r="AR146" s="100">
        <f t="shared" si="110"/>
        <v>51.706725187644381</v>
      </c>
      <c r="AS146" s="98">
        <f t="shared" si="111"/>
        <v>926.66666666666652</v>
      </c>
      <c r="AT146" s="101">
        <f t="shared" si="112"/>
        <v>94.715031539273099</v>
      </c>
    </row>
    <row r="147" spans="17:46" x14ac:dyDescent="0.25">
      <c r="Q147" s="32">
        <v>140</v>
      </c>
      <c r="R147" s="100">
        <f t="shared" si="88"/>
        <v>100</v>
      </c>
      <c r="S147" s="98">
        <f t="shared" si="89"/>
        <v>9.3333333333333339</v>
      </c>
      <c r="T147" s="98">
        <f t="shared" si="90"/>
        <v>22</v>
      </c>
      <c r="U147" s="101">
        <f t="shared" si="91"/>
        <v>47.138047138047135</v>
      </c>
      <c r="V147" s="100">
        <f t="shared" si="92"/>
        <v>2</v>
      </c>
      <c r="W147" s="98">
        <f t="shared" si="93"/>
        <v>0.78</v>
      </c>
      <c r="X147" s="101">
        <f t="shared" si="94"/>
        <v>0.21999999999999997</v>
      </c>
      <c r="Y147" s="100">
        <f t="shared" si="95"/>
        <v>10.43161094224924</v>
      </c>
      <c r="Z147" s="98">
        <f t="shared" si="114"/>
        <v>52.353852609171753</v>
      </c>
      <c r="AA147" s="98">
        <f t="shared" si="115"/>
        <v>47.234136986854729</v>
      </c>
      <c r="AB147" s="98">
        <v>0</v>
      </c>
      <c r="AC147" s="98">
        <f t="shared" si="96"/>
        <v>2.4764807035511835</v>
      </c>
      <c r="AD147" s="101">
        <f t="shared" si="105"/>
        <v>2.4764807035511835</v>
      </c>
      <c r="AE147" s="100">
        <f t="shared" si="113"/>
        <v>36.767676767676768</v>
      </c>
      <c r="AF147" s="98">
        <f t="shared" si="106"/>
        <v>41.716060259527239</v>
      </c>
      <c r="AG147" s="98">
        <f t="shared" si="97"/>
        <v>8.1790795128095866</v>
      </c>
      <c r="AH147" s="98">
        <f t="shared" si="98"/>
        <v>22.879215390418711</v>
      </c>
      <c r="AI147" s="101">
        <f t="shared" si="107"/>
        <v>31.058294903228298</v>
      </c>
      <c r="AJ147" s="100">
        <f t="shared" si="108"/>
        <v>10.370370370370368</v>
      </c>
      <c r="AK147" s="98">
        <f t="shared" si="99"/>
        <v>22.154774052480221</v>
      </c>
      <c r="AL147" s="98">
        <f t="shared" si="100"/>
        <v>15.866666666666667</v>
      </c>
      <c r="AM147" s="98">
        <f t="shared" si="101"/>
        <v>0.35594999999999999</v>
      </c>
      <c r="AN147" s="101">
        <f t="shared" si="109"/>
        <v>16.222616666666667</v>
      </c>
      <c r="AO147" s="100">
        <f t="shared" si="102"/>
        <v>2.2622985886494602</v>
      </c>
      <c r="AP147" s="98">
        <f t="shared" si="103"/>
        <v>0.13702500000000001</v>
      </c>
      <c r="AQ147" s="101">
        <f t="shared" si="104"/>
        <v>9.8999999999999991E-3</v>
      </c>
      <c r="AR147" s="100">
        <f t="shared" si="110"/>
        <v>52.166615862095611</v>
      </c>
      <c r="AS147" s="98">
        <f t="shared" si="111"/>
        <v>933.33333333333337</v>
      </c>
      <c r="AT147" s="101">
        <f t="shared" si="112"/>
        <v>94.706583607164589</v>
      </c>
    </row>
    <row r="148" spans="17:46" x14ac:dyDescent="0.25">
      <c r="Q148" s="32">
        <v>141</v>
      </c>
      <c r="R148" s="100">
        <f t="shared" si="88"/>
        <v>100</v>
      </c>
      <c r="S148" s="98">
        <f t="shared" si="89"/>
        <v>9.4</v>
      </c>
      <c r="T148" s="98">
        <f t="shared" si="90"/>
        <v>22</v>
      </c>
      <c r="U148" s="101">
        <f t="shared" si="91"/>
        <v>47.474747474747474</v>
      </c>
      <c r="V148" s="100">
        <f t="shared" si="92"/>
        <v>2</v>
      </c>
      <c r="W148" s="98">
        <f t="shared" si="93"/>
        <v>0.78</v>
      </c>
      <c r="X148" s="101">
        <f t="shared" si="94"/>
        <v>0.21999999999999997</v>
      </c>
      <c r="Y148" s="100">
        <f t="shared" si="95"/>
        <v>10.43161094224924</v>
      </c>
      <c r="Z148" s="98">
        <f t="shared" si="114"/>
        <v>52.690552945872092</v>
      </c>
      <c r="AA148" s="98">
        <f t="shared" si="115"/>
        <v>47.570157206963756</v>
      </c>
      <c r="AB148" s="98">
        <v>0</v>
      </c>
      <c r="AC148" s="98">
        <f t="shared" si="96"/>
        <v>2.5118410409317233</v>
      </c>
      <c r="AD148" s="101">
        <f t="shared" si="105"/>
        <v>2.5118410409317233</v>
      </c>
      <c r="AE148" s="100">
        <f t="shared" si="113"/>
        <v>37.030303030303031</v>
      </c>
      <c r="AF148" s="98">
        <f t="shared" si="106"/>
        <v>42.012825282552612</v>
      </c>
      <c r="AG148" s="98">
        <f t="shared" si="97"/>
        <v>8.2958641946447731</v>
      </c>
      <c r="AH148" s="98">
        <f t="shared" si="98"/>
        <v>23.042638357493132</v>
      </c>
      <c r="AI148" s="101">
        <f t="shared" si="107"/>
        <v>31.338502552137903</v>
      </c>
      <c r="AJ148" s="100">
        <f t="shared" si="108"/>
        <v>10.444444444444443</v>
      </c>
      <c r="AK148" s="98">
        <f t="shared" si="99"/>
        <v>22.31238150608209</v>
      </c>
      <c r="AL148" s="98">
        <f t="shared" si="100"/>
        <v>15.98</v>
      </c>
      <c r="AM148" s="98">
        <f t="shared" si="101"/>
        <v>0.35594999999999999</v>
      </c>
      <c r="AN148" s="101">
        <f t="shared" si="109"/>
        <v>16.33595</v>
      </c>
      <c r="AO148" s="100">
        <f t="shared" si="102"/>
        <v>2.2946007346889794</v>
      </c>
      <c r="AP148" s="98">
        <f t="shared" si="103"/>
        <v>0.13702500000000001</v>
      </c>
      <c r="AQ148" s="101">
        <f t="shared" si="104"/>
        <v>9.8999999999999991E-3</v>
      </c>
      <c r="AR148" s="100">
        <f t="shared" si="110"/>
        <v>52.627819327758608</v>
      </c>
      <c r="AS148" s="98">
        <f t="shared" si="111"/>
        <v>940</v>
      </c>
      <c r="AT148" s="101">
        <f t="shared" si="112"/>
        <v>94.698131736485081</v>
      </c>
    </row>
    <row r="149" spans="17:46" x14ac:dyDescent="0.25">
      <c r="Q149" s="32">
        <v>142</v>
      </c>
      <c r="R149" s="100">
        <f t="shared" si="88"/>
        <v>100</v>
      </c>
      <c r="S149" s="98">
        <f t="shared" si="89"/>
        <v>9.4666666666666668</v>
      </c>
      <c r="T149" s="98">
        <f t="shared" si="90"/>
        <v>22</v>
      </c>
      <c r="U149" s="101">
        <f t="shared" si="91"/>
        <v>47.811447811447806</v>
      </c>
      <c r="V149" s="100">
        <f t="shared" si="92"/>
        <v>2</v>
      </c>
      <c r="W149" s="98">
        <f t="shared" si="93"/>
        <v>0.78</v>
      </c>
      <c r="X149" s="101">
        <f t="shared" si="94"/>
        <v>0.21999999999999997</v>
      </c>
      <c r="Y149" s="100">
        <f t="shared" si="95"/>
        <v>10.43161094224924</v>
      </c>
      <c r="Z149" s="98">
        <f t="shared" si="114"/>
        <v>53.027253282572424</v>
      </c>
      <c r="AA149" s="98">
        <f t="shared" si="115"/>
        <v>47.90618697758152</v>
      </c>
      <c r="AB149" s="98">
        <v>0</v>
      </c>
      <c r="AC149" s="98">
        <f t="shared" si="96"/>
        <v>2.5474530533114113</v>
      </c>
      <c r="AD149" s="101">
        <f t="shared" si="105"/>
        <v>2.5474530533114113</v>
      </c>
      <c r="AE149" s="100">
        <f t="shared" si="113"/>
        <v>37.292929292929287</v>
      </c>
      <c r="AF149" s="98">
        <f t="shared" si="106"/>
        <v>42.309598740358922</v>
      </c>
      <c r="AG149" s="98">
        <f t="shared" si="97"/>
        <v>8.4134800841798523</v>
      </c>
      <c r="AH149" s="98">
        <f t="shared" si="98"/>
        <v>23.20606132456755</v>
      </c>
      <c r="AI149" s="101">
        <f t="shared" si="107"/>
        <v>31.619541408747402</v>
      </c>
      <c r="AJ149" s="100">
        <f t="shared" si="108"/>
        <v>10.518518518518515</v>
      </c>
      <c r="AK149" s="98">
        <f t="shared" si="99"/>
        <v>22.469993439269629</v>
      </c>
      <c r="AL149" s="98">
        <f t="shared" si="100"/>
        <v>16.093333333333334</v>
      </c>
      <c r="AM149" s="98">
        <f t="shared" si="101"/>
        <v>0.35594999999999999</v>
      </c>
      <c r="AN149" s="101">
        <f t="shared" si="109"/>
        <v>16.449283333333334</v>
      </c>
      <c r="AO149" s="100">
        <f t="shared" si="102"/>
        <v>2.3271327892412352</v>
      </c>
      <c r="AP149" s="98">
        <f t="shared" si="103"/>
        <v>0.13702500000000001</v>
      </c>
      <c r="AQ149" s="101">
        <f t="shared" si="104"/>
        <v>9.8999999999999991E-3</v>
      </c>
      <c r="AR149" s="100">
        <f t="shared" si="110"/>
        <v>53.090335584633387</v>
      </c>
      <c r="AS149" s="98">
        <f t="shared" si="111"/>
        <v>946.66666666666663</v>
      </c>
      <c r="AT149" s="101">
        <f t="shared" si="112"/>
        <v>94.689676044770678</v>
      </c>
    </row>
    <row r="150" spans="17:46" x14ac:dyDescent="0.25">
      <c r="Q150" s="32">
        <v>143</v>
      </c>
      <c r="R150" s="100">
        <f t="shared" si="88"/>
        <v>100</v>
      </c>
      <c r="S150" s="98">
        <f t="shared" si="89"/>
        <v>9.5333333333333332</v>
      </c>
      <c r="T150" s="98">
        <f t="shared" si="90"/>
        <v>22</v>
      </c>
      <c r="U150" s="101">
        <f t="shared" si="91"/>
        <v>48.148148148148145</v>
      </c>
      <c r="V150" s="100">
        <f t="shared" si="92"/>
        <v>2</v>
      </c>
      <c r="W150" s="98">
        <f t="shared" si="93"/>
        <v>0.78</v>
      </c>
      <c r="X150" s="101">
        <f t="shared" si="94"/>
        <v>0.21999999999999997</v>
      </c>
      <c r="Y150" s="100">
        <f t="shared" si="95"/>
        <v>10.43161094224924</v>
      </c>
      <c r="Z150" s="98">
        <f t="shared" si="114"/>
        <v>53.363953619272763</v>
      </c>
      <c r="AA150" s="98">
        <f t="shared" si="115"/>
        <v>48.242226099136701</v>
      </c>
      <c r="AB150" s="98">
        <v>0</v>
      </c>
      <c r="AC150" s="98">
        <f t="shared" si="96"/>
        <v>2.5833167406902517</v>
      </c>
      <c r="AD150" s="101">
        <f t="shared" si="105"/>
        <v>2.5833167406902517</v>
      </c>
      <c r="AE150" s="100">
        <f t="shared" si="113"/>
        <v>37.555555555555557</v>
      </c>
      <c r="AF150" s="98">
        <f t="shared" si="106"/>
        <v>42.606380456689543</v>
      </c>
      <c r="AG150" s="98">
        <f t="shared" si="97"/>
        <v>8.5319271814148312</v>
      </c>
      <c r="AH150" s="98">
        <f t="shared" si="98"/>
        <v>23.369484291641971</v>
      </c>
      <c r="AI150" s="101">
        <f t="shared" si="107"/>
        <v>31.901411473056804</v>
      </c>
      <c r="AJ150" s="100">
        <f t="shared" si="108"/>
        <v>10.59259259259259</v>
      </c>
      <c r="AK150" s="98">
        <f t="shared" si="99"/>
        <v>22.627609758435597</v>
      </c>
      <c r="AL150" s="98">
        <f t="shared" si="100"/>
        <v>16.206666666666667</v>
      </c>
      <c r="AM150" s="98">
        <f t="shared" si="101"/>
        <v>0.35594999999999999</v>
      </c>
      <c r="AN150" s="101">
        <f t="shared" si="109"/>
        <v>16.562616666666667</v>
      </c>
      <c r="AO150" s="100">
        <f t="shared" si="102"/>
        <v>2.3598947523062295</v>
      </c>
      <c r="AP150" s="98">
        <f t="shared" si="103"/>
        <v>0.13702500000000001</v>
      </c>
      <c r="AQ150" s="101">
        <f t="shared" si="104"/>
        <v>9.8999999999999991E-3</v>
      </c>
      <c r="AR150" s="100">
        <f t="shared" si="110"/>
        <v>53.554164632719953</v>
      </c>
      <c r="AS150" s="98">
        <f t="shared" si="111"/>
        <v>953.33333333333337</v>
      </c>
      <c r="AT150" s="101">
        <f t="shared" si="112"/>
        <v>94.681216646258775</v>
      </c>
    </row>
    <row r="151" spans="17:46" x14ac:dyDescent="0.25">
      <c r="Q151" s="32">
        <v>144</v>
      </c>
      <c r="R151" s="100">
        <f t="shared" si="88"/>
        <v>100</v>
      </c>
      <c r="S151" s="98">
        <f t="shared" si="89"/>
        <v>9.6</v>
      </c>
      <c r="T151" s="98">
        <f t="shared" si="90"/>
        <v>22</v>
      </c>
      <c r="U151" s="101">
        <f t="shared" si="91"/>
        <v>48.484848484848484</v>
      </c>
      <c r="V151" s="100">
        <f t="shared" si="92"/>
        <v>2</v>
      </c>
      <c r="W151" s="98">
        <f t="shared" si="93"/>
        <v>0.78</v>
      </c>
      <c r="X151" s="101">
        <f t="shared" si="94"/>
        <v>0.21999999999999997</v>
      </c>
      <c r="Y151" s="100">
        <f t="shared" si="95"/>
        <v>10.43161094224924</v>
      </c>
      <c r="Z151" s="98">
        <f t="shared" si="114"/>
        <v>53.700653955973102</v>
      </c>
      <c r="AA151" s="98">
        <f t="shared" si="115"/>
        <v>48.578274377574573</v>
      </c>
      <c r="AB151" s="98">
        <v>0</v>
      </c>
      <c r="AC151" s="98">
        <f t="shared" si="96"/>
        <v>2.6194321030682395</v>
      </c>
      <c r="AD151" s="101">
        <f t="shared" si="105"/>
        <v>2.6194321030682395</v>
      </c>
      <c r="AE151" s="100">
        <f t="shared" si="113"/>
        <v>37.81818181818182</v>
      </c>
      <c r="AF151" s="98">
        <f t="shared" si="106"/>
        <v>42.903170260159996</v>
      </c>
      <c r="AG151" s="98">
        <f t="shared" si="97"/>
        <v>8.6512054863497028</v>
      </c>
      <c r="AH151" s="98">
        <f t="shared" si="98"/>
        <v>23.532907258716389</v>
      </c>
      <c r="AI151" s="101">
        <f t="shared" si="107"/>
        <v>32.184112745066088</v>
      </c>
      <c r="AJ151" s="100">
        <f t="shared" si="108"/>
        <v>10.666666666666666</v>
      </c>
      <c r="AK151" s="98">
        <f t="shared" si="99"/>
        <v>22.78523037256025</v>
      </c>
      <c r="AL151" s="98">
        <f t="shared" si="100"/>
        <v>16.32</v>
      </c>
      <c r="AM151" s="98">
        <f t="shared" si="101"/>
        <v>0.35594999999999999</v>
      </c>
      <c r="AN151" s="101">
        <f t="shared" si="109"/>
        <v>16.67595</v>
      </c>
      <c r="AO151" s="100">
        <f t="shared" si="102"/>
        <v>2.3928866238839599</v>
      </c>
      <c r="AP151" s="98">
        <f t="shared" si="103"/>
        <v>0.13702500000000001</v>
      </c>
      <c r="AQ151" s="101">
        <f t="shared" si="104"/>
        <v>9.8999999999999991E-3</v>
      </c>
      <c r="AR151" s="100">
        <f t="shared" si="110"/>
        <v>54.019306472018293</v>
      </c>
      <c r="AS151" s="98">
        <f t="shared" si="111"/>
        <v>960</v>
      </c>
      <c r="AT151" s="101">
        <f t="shared" si="112"/>
        <v>94.672753652002683</v>
      </c>
    </row>
    <row r="152" spans="17:46" x14ac:dyDescent="0.25">
      <c r="Q152" s="32">
        <v>145</v>
      </c>
      <c r="R152" s="100">
        <f t="shared" si="88"/>
        <v>100</v>
      </c>
      <c r="S152" s="98">
        <f t="shared" si="89"/>
        <v>9.6666666666666661</v>
      </c>
      <c r="T152" s="98">
        <f t="shared" si="90"/>
        <v>22</v>
      </c>
      <c r="U152" s="101">
        <f t="shared" si="91"/>
        <v>48.821548821548816</v>
      </c>
      <c r="V152" s="100">
        <f t="shared" si="92"/>
        <v>2</v>
      </c>
      <c r="W152" s="98">
        <f t="shared" si="93"/>
        <v>0.78</v>
      </c>
      <c r="X152" s="101">
        <f t="shared" si="94"/>
        <v>0.21999999999999997</v>
      </c>
      <c r="Y152" s="100">
        <f t="shared" si="95"/>
        <v>10.43161094224924</v>
      </c>
      <c r="Z152" s="98">
        <f t="shared" si="114"/>
        <v>54.037354292673434</v>
      </c>
      <c r="AA152" s="98">
        <f t="shared" si="115"/>
        <v>48.914331624167971</v>
      </c>
      <c r="AB152" s="98">
        <v>0</v>
      </c>
      <c r="AC152" s="98">
        <f t="shared" si="96"/>
        <v>2.6557991404453776</v>
      </c>
      <c r="AD152" s="101">
        <f t="shared" si="105"/>
        <v>2.6557991404453776</v>
      </c>
      <c r="AE152" s="100">
        <f t="shared" si="113"/>
        <v>38.080808080808076</v>
      </c>
      <c r="AF152" s="98">
        <f t="shared" si="106"/>
        <v>43.199967984090932</v>
      </c>
      <c r="AG152" s="98">
        <f t="shared" si="97"/>
        <v>8.7713149989844634</v>
      </c>
      <c r="AH152" s="98">
        <f t="shared" si="98"/>
        <v>23.69633022579081</v>
      </c>
      <c r="AI152" s="101">
        <f t="shared" si="107"/>
        <v>32.467645224775275</v>
      </c>
      <c r="AJ152" s="100">
        <f t="shared" si="108"/>
        <v>10.740740740740739</v>
      </c>
      <c r="AK152" s="98">
        <f t="shared" si="99"/>
        <v>22.942855193122703</v>
      </c>
      <c r="AL152" s="98">
        <f t="shared" si="100"/>
        <v>16.433333333333334</v>
      </c>
      <c r="AM152" s="98">
        <f t="shared" si="101"/>
        <v>0.35594999999999999</v>
      </c>
      <c r="AN152" s="101">
        <f t="shared" si="109"/>
        <v>16.789283333333334</v>
      </c>
      <c r="AO152" s="100">
        <f t="shared" si="102"/>
        <v>2.4261084039744261</v>
      </c>
      <c r="AP152" s="98">
        <f t="shared" si="103"/>
        <v>0.13702500000000001</v>
      </c>
      <c r="AQ152" s="101">
        <f t="shared" si="104"/>
        <v>9.8999999999999991E-3</v>
      </c>
      <c r="AR152" s="100">
        <f t="shared" si="110"/>
        <v>54.485761102528414</v>
      </c>
      <c r="AS152" s="98">
        <f t="shared" si="111"/>
        <v>966.66666666666663</v>
      </c>
      <c r="AT152" s="101">
        <f t="shared" si="112"/>
        <v>94.664287169981293</v>
      </c>
    </row>
    <row r="153" spans="17:46" x14ac:dyDescent="0.25">
      <c r="Q153" s="32">
        <v>146</v>
      </c>
      <c r="R153" s="100">
        <f t="shared" si="88"/>
        <v>100</v>
      </c>
      <c r="S153" s="98">
        <f t="shared" si="89"/>
        <v>9.7333333333333325</v>
      </c>
      <c r="T153" s="98">
        <f t="shared" si="90"/>
        <v>22</v>
      </c>
      <c r="U153" s="101">
        <f t="shared" si="91"/>
        <v>49.158249158249156</v>
      </c>
      <c r="V153" s="100">
        <f t="shared" si="92"/>
        <v>2</v>
      </c>
      <c r="W153" s="98">
        <f t="shared" si="93"/>
        <v>0.78</v>
      </c>
      <c r="X153" s="101">
        <f t="shared" si="94"/>
        <v>0.21999999999999997</v>
      </c>
      <c r="Y153" s="100">
        <f t="shared" si="95"/>
        <v>10.43161094224924</v>
      </c>
      <c r="Z153" s="98">
        <f t="shared" si="114"/>
        <v>54.374054629373774</v>
      </c>
      <c r="AA153" s="98">
        <f t="shared" si="115"/>
        <v>49.250397655335824</v>
      </c>
      <c r="AB153" s="98">
        <v>0</v>
      </c>
      <c r="AC153" s="98">
        <f t="shared" si="96"/>
        <v>2.6924178528216665</v>
      </c>
      <c r="AD153" s="101">
        <f t="shared" si="105"/>
        <v>2.6924178528216665</v>
      </c>
      <c r="AE153" s="100">
        <f t="shared" si="113"/>
        <v>38.343434343434346</v>
      </c>
      <c r="AF153" s="98">
        <f t="shared" si="106"/>
        <v>43.496773466347967</v>
      </c>
      <c r="AG153" s="98">
        <f t="shared" si="97"/>
        <v>8.8922557193191256</v>
      </c>
      <c r="AH153" s="98">
        <f t="shared" si="98"/>
        <v>23.859753192865227</v>
      </c>
      <c r="AI153" s="101">
        <f t="shared" si="107"/>
        <v>32.752008912184351</v>
      </c>
      <c r="AJ153" s="100">
        <f t="shared" si="108"/>
        <v>10.814814814814813</v>
      </c>
      <c r="AK153" s="98">
        <f t="shared" si="99"/>
        <v>23.100484134015801</v>
      </c>
      <c r="AL153" s="98">
        <f t="shared" si="100"/>
        <v>16.546666666666663</v>
      </c>
      <c r="AM153" s="98">
        <f t="shared" si="101"/>
        <v>0.35594999999999999</v>
      </c>
      <c r="AN153" s="101">
        <f t="shared" si="109"/>
        <v>16.902616666666663</v>
      </c>
      <c r="AO153" s="100">
        <f t="shared" si="102"/>
        <v>2.4595600925776302</v>
      </c>
      <c r="AP153" s="98">
        <f t="shared" si="103"/>
        <v>0.13702500000000001</v>
      </c>
      <c r="AQ153" s="101">
        <f t="shared" si="104"/>
        <v>9.8999999999999991E-3</v>
      </c>
      <c r="AR153" s="100">
        <f t="shared" si="110"/>
        <v>54.953528524250309</v>
      </c>
      <c r="AS153" s="98">
        <f t="shared" si="111"/>
        <v>973.33333333333326</v>
      </c>
      <c r="AT153" s="101">
        <f t="shared" si="112"/>
        <v>94.655817305204351</v>
      </c>
    </row>
    <row r="154" spans="17:46" x14ac:dyDescent="0.25">
      <c r="Q154" s="32">
        <v>147</v>
      </c>
      <c r="R154" s="100">
        <f t="shared" si="88"/>
        <v>100</v>
      </c>
      <c r="S154" s="98">
        <f t="shared" si="89"/>
        <v>9.8000000000000007</v>
      </c>
      <c r="T154" s="98">
        <f t="shared" si="90"/>
        <v>22</v>
      </c>
      <c r="U154" s="101">
        <f t="shared" si="91"/>
        <v>49.494949494949502</v>
      </c>
      <c r="V154" s="100">
        <f t="shared" si="92"/>
        <v>2</v>
      </c>
      <c r="W154" s="98">
        <f t="shared" si="93"/>
        <v>0.78</v>
      </c>
      <c r="X154" s="101">
        <f t="shared" si="94"/>
        <v>0.21999999999999997</v>
      </c>
      <c r="Y154" s="100">
        <f t="shared" si="95"/>
        <v>10.43161094224924</v>
      </c>
      <c r="Z154" s="98">
        <f t="shared" si="114"/>
        <v>54.71075496607412</v>
      </c>
      <c r="AA154" s="98">
        <f t="shared" si="115"/>
        <v>49.586472292469104</v>
      </c>
      <c r="AB154" s="98">
        <v>0</v>
      </c>
      <c r="AC154" s="98">
        <f t="shared" si="96"/>
        <v>2.7292882401971053</v>
      </c>
      <c r="AD154" s="101">
        <f t="shared" si="105"/>
        <v>2.7292882401971053</v>
      </c>
      <c r="AE154" s="100">
        <f t="shared" si="113"/>
        <v>38.606060606060616</v>
      </c>
      <c r="AF154" s="98">
        <f t="shared" si="106"/>
        <v>43.793586549187872</v>
      </c>
      <c r="AG154" s="98">
        <f t="shared" si="97"/>
        <v>9.0140276473536822</v>
      </c>
      <c r="AH154" s="98">
        <f t="shared" si="98"/>
        <v>24.023176159939656</v>
      </c>
      <c r="AI154" s="101">
        <f t="shared" si="107"/>
        <v>33.037203807293338</v>
      </c>
      <c r="AJ154" s="100">
        <f t="shared" si="108"/>
        <v>10.888888888888889</v>
      </c>
      <c r="AK154" s="98">
        <f t="shared" si="99"/>
        <v>23.25811711146449</v>
      </c>
      <c r="AL154" s="98">
        <f t="shared" si="100"/>
        <v>16.66</v>
      </c>
      <c r="AM154" s="98">
        <f t="shared" si="101"/>
        <v>0.35594999999999999</v>
      </c>
      <c r="AN154" s="101">
        <f t="shared" si="109"/>
        <v>17.01595</v>
      </c>
      <c r="AO154" s="100">
        <f t="shared" si="102"/>
        <v>2.4932416896935714</v>
      </c>
      <c r="AP154" s="98">
        <f t="shared" si="103"/>
        <v>0.13702500000000001</v>
      </c>
      <c r="AQ154" s="101">
        <f t="shared" si="104"/>
        <v>9.8999999999999991E-3</v>
      </c>
      <c r="AR154" s="100">
        <f t="shared" si="110"/>
        <v>55.422608737184021</v>
      </c>
      <c r="AS154" s="98">
        <f t="shared" si="111"/>
        <v>980.00000000000011</v>
      </c>
      <c r="AT154" s="101">
        <f t="shared" si="112"/>
        <v>94.647344159813329</v>
      </c>
    </row>
    <row r="155" spans="17:46" x14ac:dyDescent="0.25">
      <c r="Q155" s="32">
        <v>148</v>
      </c>
      <c r="R155" s="100">
        <f t="shared" si="88"/>
        <v>100</v>
      </c>
      <c r="S155" s="98">
        <f t="shared" si="89"/>
        <v>9.8666666666666671</v>
      </c>
      <c r="T155" s="98">
        <f t="shared" si="90"/>
        <v>22</v>
      </c>
      <c r="U155" s="101">
        <f t="shared" si="91"/>
        <v>49.831649831649834</v>
      </c>
      <c r="V155" s="100">
        <f t="shared" si="92"/>
        <v>2</v>
      </c>
      <c r="W155" s="98">
        <f t="shared" si="93"/>
        <v>0.78</v>
      </c>
      <c r="X155" s="101">
        <f t="shared" si="94"/>
        <v>0.21999999999999997</v>
      </c>
      <c r="Y155" s="100">
        <f t="shared" si="95"/>
        <v>10.43161094224924</v>
      </c>
      <c r="Z155" s="98">
        <f t="shared" si="114"/>
        <v>55.047455302774452</v>
      </c>
      <c r="AA155" s="98">
        <f t="shared" si="115"/>
        <v>49.922555361763798</v>
      </c>
      <c r="AB155" s="98">
        <v>0</v>
      </c>
      <c r="AC155" s="98">
        <f t="shared" si="96"/>
        <v>2.7664103025716926</v>
      </c>
      <c r="AD155" s="101">
        <f t="shared" si="105"/>
        <v>2.7664103025716926</v>
      </c>
      <c r="AE155" s="100">
        <f t="shared" si="113"/>
        <v>38.868686868686872</v>
      </c>
      <c r="AF155" s="98">
        <f t="shared" si="106"/>
        <v>44.090407079111095</v>
      </c>
      <c r="AG155" s="98">
        <f t="shared" si="97"/>
        <v>9.1366307830881315</v>
      </c>
      <c r="AH155" s="98">
        <f t="shared" si="98"/>
        <v>24.186599127014073</v>
      </c>
      <c r="AI155" s="101">
        <f t="shared" si="107"/>
        <v>33.323229910102206</v>
      </c>
      <c r="AJ155" s="100">
        <f t="shared" si="108"/>
        <v>10.962962962962962</v>
      </c>
      <c r="AK155" s="98">
        <f t="shared" si="99"/>
        <v>23.415754043947455</v>
      </c>
      <c r="AL155" s="98">
        <f t="shared" si="100"/>
        <v>16.773333333333333</v>
      </c>
      <c r="AM155" s="98">
        <f t="shared" si="101"/>
        <v>0.35594999999999999</v>
      </c>
      <c r="AN155" s="101">
        <f t="shared" si="109"/>
        <v>17.129283333333333</v>
      </c>
      <c r="AO155" s="100">
        <f t="shared" si="102"/>
        <v>2.5271531953222488</v>
      </c>
      <c r="AP155" s="98">
        <f t="shared" si="103"/>
        <v>0.13702500000000001</v>
      </c>
      <c r="AQ155" s="101">
        <f t="shared" si="104"/>
        <v>9.8999999999999991E-3</v>
      </c>
      <c r="AR155" s="100">
        <f t="shared" si="110"/>
        <v>55.893001741329485</v>
      </c>
      <c r="AS155" s="98">
        <f t="shared" si="111"/>
        <v>986.66666666666674</v>
      </c>
      <c r="AT155" s="101">
        <f t="shared" si="112"/>
        <v>94.638867833178423</v>
      </c>
    </row>
    <row r="156" spans="17:46" x14ac:dyDescent="0.25">
      <c r="Q156" s="32">
        <v>149</v>
      </c>
      <c r="R156" s="100">
        <f t="shared" si="88"/>
        <v>100</v>
      </c>
      <c r="S156" s="98">
        <f t="shared" si="89"/>
        <v>9.9333333333333336</v>
      </c>
      <c r="T156" s="98">
        <f t="shared" si="90"/>
        <v>22</v>
      </c>
      <c r="U156" s="101">
        <f t="shared" si="91"/>
        <v>50.168350168350166</v>
      </c>
      <c r="V156" s="100">
        <f t="shared" si="92"/>
        <v>2</v>
      </c>
      <c r="W156" s="98">
        <f t="shared" si="93"/>
        <v>0.78</v>
      </c>
      <c r="X156" s="101">
        <f t="shared" si="94"/>
        <v>0.21999999999999997</v>
      </c>
      <c r="Y156" s="100">
        <f t="shared" si="95"/>
        <v>10.43161094224924</v>
      </c>
      <c r="Z156" s="98">
        <f t="shared" si="114"/>
        <v>55.384155639474784</v>
      </c>
      <c r="AA156" s="98">
        <f t="shared" si="115"/>
        <v>50.258646694060559</v>
      </c>
      <c r="AB156" s="98">
        <v>0</v>
      </c>
      <c r="AC156" s="98">
        <f t="shared" si="96"/>
        <v>2.803784039945429</v>
      </c>
      <c r="AD156" s="101">
        <f t="shared" si="105"/>
        <v>2.803784039945429</v>
      </c>
      <c r="AE156" s="100">
        <f t="shared" si="113"/>
        <v>39.131313131313128</v>
      </c>
      <c r="AF156" s="98">
        <f t="shared" si="106"/>
        <v>44.387234906720145</v>
      </c>
      <c r="AG156" s="98">
        <f t="shared" si="97"/>
        <v>9.2600651265224698</v>
      </c>
      <c r="AH156" s="98">
        <f t="shared" si="98"/>
        <v>24.350022094088484</v>
      </c>
      <c r="AI156" s="101">
        <f t="shared" si="107"/>
        <v>33.61008722061095</v>
      </c>
      <c r="AJ156" s="100">
        <f t="shared" si="108"/>
        <v>11.037037037037035</v>
      </c>
      <c r="AK156" s="98">
        <f t="shared" si="99"/>
        <v>23.573394852121933</v>
      </c>
      <c r="AL156" s="98">
        <f t="shared" si="100"/>
        <v>16.886666666666667</v>
      </c>
      <c r="AM156" s="98">
        <f t="shared" si="101"/>
        <v>0.35594999999999999</v>
      </c>
      <c r="AN156" s="101">
        <f t="shared" si="109"/>
        <v>17.242616666666667</v>
      </c>
      <c r="AO156" s="100">
        <f t="shared" si="102"/>
        <v>2.5612946094636619</v>
      </c>
      <c r="AP156" s="98">
        <f t="shared" si="103"/>
        <v>0.13702500000000001</v>
      </c>
      <c r="AQ156" s="101">
        <f t="shared" si="104"/>
        <v>9.8999999999999991E-3</v>
      </c>
      <c r="AR156" s="100">
        <f t="shared" si="110"/>
        <v>56.364707536686709</v>
      </c>
      <c r="AS156" s="98">
        <f t="shared" si="111"/>
        <v>993.33333333333337</v>
      </c>
      <c r="AT156" s="101">
        <f t="shared" si="112"/>
        <v>94.630388421991327</v>
      </c>
    </row>
    <row r="157" spans="17:46" ht="15.75" thickBot="1" x14ac:dyDescent="0.3">
      <c r="Q157" s="32">
        <v>150</v>
      </c>
      <c r="R157" s="102">
        <f t="shared" si="88"/>
        <v>100</v>
      </c>
      <c r="S157" s="103">
        <f t="shared" si="89"/>
        <v>10</v>
      </c>
      <c r="T157" s="103">
        <f t="shared" si="90"/>
        <v>22</v>
      </c>
      <c r="U157" s="104">
        <f t="shared" si="91"/>
        <v>50.505050505050505</v>
      </c>
      <c r="V157" s="102">
        <f t="shared" si="92"/>
        <v>2</v>
      </c>
      <c r="W157" s="103">
        <f t="shared" si="93"/>
        <v>0.78</v>
      </c>
      <c r="X157" s="104">
        <f t="shared" si="94"/>
        <v>0.21999999999999997</v>
      </c>
      <c r="Y157" s="102">
        <f t="shared" si="95"/>
        <v>10.43161094224924</v>
      </c>
      <c r="Z157" s="103">
        <f t="shared" si="114"/>
        <v>55.720855976175123</v>
      </c>
      <c r="AA157" s="103">
        <f t="shared" si="115"/>
        <v>50.594746124690722</v>
      </c>
      <c r="AB157" s="103">
        <v>0</v>
      </c>
      <c r="AC157" s="103">
        <f t="shared" si="96"/>
        <v>2.8414094523183171</v>
      </c>
      <c r="AD157" s="104">
        <f t="shared" si="105"/>
        <v>2.8414094523183171</v>
      </c>
      <c r="AE157" s="102">
        <f t="shared" si="113"/>
        <v>39.393939393939398</v>
      </c>
      <c r="AF157" s="98">
        <f t="shared" si="106"/>
        <v>44.6840698865836</v>
      </c>
      <c r="AG157" s="103">
        <f t="shared" si="97"/>
        <v>9.3843306776567097</v>
      </c>
      <c r="AH157" s="103">
        <f t="shared" si="98"/>
        <v>24.513445061162908</v>
      </c>
      <c r="AI157" s="104">
        <f t="shared" si="107"/>
        <v>33.897775738819618</v>
      </c>
      <c r="AJ157" s="102">
        <f>X157*U157</f>
        <v>11.111111111111109</v>
      </c>
      <c r="AK157" s="103">
        <f t="shared" si="99"/>
        <v>23.731039458751475</v>
      </c>
      <c r="AL157" s="103">
        <f t="shared" si="100"/>
        <v>17</v>
      </c>
      <c r="AM157" s="103">
        <f t="shared" si="101"/>
        <v>0.35594999999999999</v>
      </c>
      <c r="AN157" s="104">
        <f t="shared" si="109"/>
        <v>17.35595</v>
      </c>
      <c r="AO157" s="102">
        <f t="shared" si="102"/>
        <v>2.5956659321178135</v>
      </c>
      <c r="AP157" s="103">
        <f t="shared" si="103"/>
        <v>0.13702500000000001</v>
      </c>
      <c r="AQ157" s="104">
        <f t="shared" si="104"/>
        <v>9.8999999999999991E-3</v>
      </c>
      <c r="AR157" s="102">
        <f t="shared" si="110"/>
        <v>56.837726123255756</v>
      </c>
      <c r="AS157" s="103">
        <f t="shared" si="111"/>
        <v>1000</v>
      </c>
      <c r="AT157" s="104">
        <f>(AS157/(AS157+AR157))*100</f>
        <v>94.621906020354629</v>
      </c>
    </row>
    <row r="158" spans="17:46" x14ac:dyDescent="0.25">
      <c r="Q158" s="32"/>
    </row>
    <row r="159" spans="17:46" x14ac:dyDescent="0.25">
      <c r="Q159" s="32"/>
    </row>
    <row r="160" spans="17:46" x14ac:dyDescent="0.25">
      <c r="Q160" s="32"/>
    </row>
    <row r="161" spans="17:17" x14ac:dyDescent="0.25">
      <c r="Q161" s="32"/>
    </row>
    <row r="162" spans="17:17" x14ac:dyDescent="0.25">
      <c r="Q162" s="32"/>
    </row>
    <row r="163" spans="17:17" x14ac:dyDescent="0.25">
      <c r="Q163" s="32"/>
    </row>
    <row r="164" spans="17:17" x14ac:dyDescent="0.25">
      <c r="Q164" s="32"/>
    </row>
    <row r="165" spans="17:17" x14ac:dyDescent="0.25">
      <c r="Q165" s="32"/>
    </row>
    <row r="166" spans="17:17" x14ac:dyDescent="0.25">
      <c r="Q166" s="32"/>
    </row>
    <row r="167" spans="17:17" x14ac:dyDescent="0.25">
      <c r="Q167" s="32"/>
    </row>
    <row r="168" spans="17:17" x14ac:dyDescent="0.25">
      <c r="Q168" s="32"/>
    </row>
    <row r="169" spans="17:17" x14ac:dyDescent="0.25">
      <c r="Q169" s="32"/>
    </row>
    <row r="170" spans="17:17" x14ac:dyDescent="0.25">
      <c r="Q170" s="32"/>
    </row>
    <row r="171" spans="17:17" x14ac:dyDescent="0.25">
      <c r="Q171" s="32"/>
    </row>
    <row r="172" spans="17:17" x14ac:dyDescent="0.25">
      <c r="Q172" s="32"/>
    </row>
    <row r="173" spans="17:17" x14ac:dyDescent="0.25">
      <c r="Q173" s="32"/>
    </row>
    <row r="174" spans="17:17" x14ac:dyDescent="0.25">
      <c r="Q174" s="32"/>
    </row>
    <row r="175" spans="17:17" x14ac:dyDescent="0.25">
      <c r="Q175" s="32"/>
    </row>
    <row r="176" spans="17:17" x14ac:dyDescent="0.25">
      <c r="Q176" s="32"/>
    </row>
    <row r="177" spans="17:17" x14ac:dyDescent="0.25">
      <c r="Q177" s="32"/>
    </row>
    <row r="178" spans="17:17" x14ac:dyDescent="0.25">
      <c r="Q178" s="32"/>
    </row>
    <row r="179" spans="17:17" x14ac:dyDescent="0.25">
      <c r="Q179" s="32"/>
    </row>
    <row r="180" spans="17:17" x14ac:dyDescent="0.25">
      <c r="Q180" s="32"/>
    </row>
    <row r="181" spans="17:17" x14ac:dyDescent="0.25">
      <c r="Q181" s="32"/>
    </row>
    <row r="182" spans="17:17" x14ac:dyDescent="0.25">
      <c r="Q182" s="32"/>
    </row>
    <row r="183" spans="17:17" x14ac:dyDescent="0.25">
      <c r="Q183" s="32"/>
    </row>
    <row r="184" spans="17:17" x14ac:dyDescent="0.25">
      <c r="Q184" s="32"/>
    </row>
    <row r="185" spans="17:17" x14ac:dyDescent="0.25">
      <c r="Q185" s="32"/>
    </row>
    <row r="186" spans="17:17" x14ac:dyDescent="0.25">
      <c r="Q186" s="32"/>
    </row>
    <row r="187" spans="17:17" x14ac:dyDescent="0.25">
      <c r="Q187" s="32"/>
    </row>
    <row r="188" spans="17:17" x14ac:dyDescent="0.25">
      <c r="Q188" s="32"/>
    </row>
    <row r="189" spans="17:17" x14ac:dyDescent="0.25">
      <c r="Q189" s="32"/>
    </row>
    <row r="190" spans="17:17" x14ac:dyDescent="0.25">
      <c r="Q190" s="32"/>
    </row>
    <row r="191" spans="17:17" x14ac:dyDescent="0.25">
      <c r="Q191" s="32"/>
    </row>
    <row r="192" spans="17:17" x14ac:dyDescent="0.25">
      <c r="Q192" s="32"/>
    </row>
    <row r="193" spans="17:17" x14ac:dyDescent="0.25">
      <c r="Q193" s="32"/>
    </row>
    <row r="194" spans="17:17" x14ac:dyDescent="0.25">
      <c r="Q194" s="32"/>
    </row>
    <row r="195" spans="17:17" x14ac:dyDescent="0.25">
      <c r="Q195" s="32"/>
    </row>
    <row r="196" spans="17:17" x14ac:dyDescent="0.25">
      <c r="Q196" s="32"/>
    </row>
    <row r="197" spans="17:17" x14ac:dyDescent="0.25">
      <c r="Q197" s="32"/>
    </row>
    <row r="198" spans="17:17" x14ac:dyDescent="0.25">
      <c r="Q198" s="32"/>
    </row>
    <row r="199" spans="17:17" x14ac:dyDescent="0.25">
      <c r="Q199" s="32"/>
    </row>
    <row r="200" spans="17:17" x14ac:dyDescent="0.25">
      <c r="Q200" s="32"/>
    </row>
    <row r="201" spans="17:17" x14ac:dyDescent="0.25">
      <c r="Q201" s="32"/>
    </row>
    <row r="202" spans="17:17" x14ac:dyDescent="0.25">
      <c r="Q202" s="32"/>
    </row>
    <row r="203" spans="17:17" x14ac:dyDescent="0.25">
      <c r="Q203" s="32"/>
    </row>
    <row r="204" spans="17:17" x14ac:dyDescent="0.25">
      <c r="Q204" s="32"/>
    </row>
    <row r="205" spans="17:17" x14ac:dyDescent="0.25">
      <c r="Q205" s="32"/>
    </row>
    <row r="206" spans="17:17" x14ac:dyDescent="0.25">
      <c r="Q206" s="32"/>
    </row>
    <row r="207" spans="17:17" x14ac:dyDescent="0.25">
      <c r="Q207" s="32"/>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708"/>
  <sheetViews>
    <sheetView zoomScale="55" zoomScaleNormal="55" workbookViewId="0">
      <selection activeCell="L17" sqref="L17"/>
    </sheetView>
  </sheetViews>
  <sheetFormatPr defaultRowHeight="15" x14ac:dyDescent="0.25"/>
  <cols>
    <col min="1" max="1" width="13.140625" customWidth="1"/>
    <col min="2" max="2" width="25" customWidth="1"/>
    <col min="8" max="10" width="8.85546875" style="32"/>
    <col min="15" max="15" width="16.7109375" style="53" bestFit="1" customWidth="1"/>
    <col min="16" max="16" width="16.7109375" customWidth="1"/>
    <col min="29" max="29" width="8.85546875" style="32"/>
    <col min="33" max="33" width="10.140625" customWidth="1"/>
    <col min="34" max="34" width="12" bestFit="1" customWidth="1"/>
    <col min="42" max="42" width="8.85546875" style="32"/>
    <col min="45" max="45" width="8.85546875" style="32"/>
  </cols>
  <sheetData>
    <row r="1" spans="1:48" s="32" customFormat="1" ht="27.75" x14ac:dyDescent="0.4">
      <c r="A1" s="221" t="s">
        <v>17</v>
      </c>
      <c r="B1" s="221"/>
      <c r="C1" s="221"/>
      <c r="D1" s="221"/>
      <c r="E1" s="221"/>
      <c r="F1" s="221"/>
      <c r="G1" s="221"/>
      <c r="H1" s="221"/>
      <c r="I1" s="221"/>
      <c r="J1" s="221"/>
      <c r="K1" s="221"/>
      <c r="L1" s="221"/>
      <c r="M1" s="221"/>
      <c r="N1" s="221" t="s">
        <v>235</v>
      </c>
      <c r="O1" s="221"/>
      <c r="P1" s="221"/>
      <c r="Q1" s="221"/>
      <c r="R1" s="221"/>
      <c r="S1" s="221"/>
      <c r="T1" s="221"/>
      <c r="U1" s="221"/>
      <c r="V1" s="221"/>
      <c r="W1" s="221"/>
      <c r="X1" s="221"/>
    </row>
    <row r="2" spans="1:48" s="32" customFormat="1" x14ac:dyDescent="0.25">
      <c r="A2" s="12"/>
      <c r="B2" s="12" t="s">
        <v>18</v>
      </c>
      <c r="C2" s="13"/>
      <c r="D2" s="18"/>
      <c r="E2" s="12"/>
      <c r="F2" s="12"/>
      <c r="G2" s="12"/>
      <c r="H2" s="12"/>
      <c r="I2" s="12"/>
      <c r="J2" s="12"/>
      <c r="K2" s="12"/>
      <c r="L2" s="12"/>
      <c r="M2" s="12"/>
    </row>
    <row r="3" spans="1:48" s="32" customFormat="1" ht="15.75" thickBot="1" x14ac:dyDescent="0.3">
      <c r="A3" s="12"/>
      <c r="B3" s="12" t="s">
        <v>19</v>
      </c>
      <c r="C3" s="14"/>
      <c r="D3" s="18"/>
      <c r="E3" s="12"/>
      <c r="F3" s="24"/>
      <c r="G3" s="25"/>
      <c r="H3" s="25"/>
      <c r="I3" s="25"/>
      <c r="J3" s="25"/>
      <c r="K3" s="41"/>
      <c r="L3" s="12"/>
      <c r="M3" s="12"/>
    </row>
    <row r="4" spans="1:48" s="32" customFormat="1" ht="15.75" thickBot="1" x14ac:dyDescent="0.3">
      <c r="A4" s="12"/>
      <c r="B4" s="12" t="s">
        <v>20</v>
      </c>
      <c r="C4" s="15"/>
      <c r="D4" s="18"/>
      <c r="E4" s="12"/>
      <c r="F4" s="24"/>
      <c r="G4" s="25"/>
      <c r="H4" s="25"/>
      <c r="I4" s="25"/>
      <c r="J4" s="25"/>
      <c r="K4" s="41"/>
      <c r="L4" s="12"/>
      <c r="M4" s="12"/>
      <c r="N4" s="87"/>
      <c r="O4" s="93"/>
      <c r="P4" s="233" t="s">
        <v>266</v>
      </c>
      <c r="Q4" s="233"/>
      <c r="R4" s="233"/>
      <c r="S4" s="233"/>
      <c r="T4" s="233"/>
      <c r="U4" s="233"/>
      <c r="V4" s="233"/>
      <c r="W4" s="233"/>
      <c r="X4" s="233"/>
      <c r="Y4" s="233"/>
      <c r="Z4" s="233"/>
      <c r="AA4" s="233"/>
      <c r="AB4" s="233"/>
      <c r="AC4" s="233"/>
      <c r="AD4" s="233"/>
      <c r="AE4" s="234"/>
      <c r="AF4" s="232" t="s">
        <v>267</v>
      </c>
      <c r="AG4" s="233"/>
      <c r="AH4" s="233"/>
      <c r="AI4" s="233"/>
      <c r="AJ4" s="233"/>
      <c r="AK4" s="233"/>
      <c r="AL4" s="233"/>
      <c r="AM4" s="233"/>
      <c r="AN4" s="233"/>
      <c r="AO4" s="233"/>
      <c r="AP4" s="233"/>
      <c r="AQ4" s="233"/>
      <c r="AR4" s="234"/>
      <c r="AS4" s="232" t="s">
        <v>278</v>
      </c>
      <c r="AT4" s="233"/>
      <c r="AU4" s="234"/>
    </row>
    <row r="5" spans="1:48" s="32" customFormat="1" x14ac:dyDescent="0.25">
      <c r="A5" s="12"/>
      <c r="D5" s="18"/>
      <c r="E5" s="12"/>
      <c r="F5" s="12"/>
      <c r="G5" s="12"/>
      <c r="H5" s="12"/>
      <c r="I5" s="12"/>
      <c r="J5" s="12"/>
      <c r="K5" s="12"/>
      <c r="L5" s="12"/>
      <c r="M5" s="12"/>
      <c r="N5" s="61"/>
      <c r="O5" s="64"/>
      <c r="P5" s="52"/>
      <c r="Q5" s="235" t="s">
        <v>258</v>
      </c>
      <c r="R5" s="235"/>
      <c r="S5" s="235"/>
      <c r="T5" s="230" t="s">
        <v>260</v>
      </c>
      <c r="U5" s="230"/>
      <c r="V5" s="230"/>
      <c r="W5" s="230" t="s">
        <v>260</v>
      </c>
      <c r="X5" s="230"/>
      <c r="Y5" s="230"/>
      <c r="Z5" s="230" t="s">
        <v>263</v>
      </c>
      <c r="AA5" s="230"/>
      <c r="AB5" s="230"/>
      <c r="AC5" s="229" t="s">
        <v>265</v>
      </c>
      <c r="AD5" s="230"/>
      <c r="AE5" s="231"/>
      <c r="AF5" s="52"/>
      <c r="AG5" s="230" t="s">
        <v>274</v>
      </c>
      <c r="AH5" s="230"/>
      <c r="AI5" s="230"/>
      <c r="AJ5" s="230" t="s">
        <v>275</v>
      </c>
      <c r="AK5" s="230"/>
      <c r="AL5" s="230"/>
      <c r="AM5" s="230" t="s">
        <v>269</v>
      </c>
      <c r="AN5" s="230"/>
      <c r="AO5" s="230"/>
      <c r="AP5" s="229" t="s">
        <v>265</v>
      </c>
      <c r="AQ5" s="230"/>
      <c r="AR5" s="231"/>
      <c r="AS5" s="229" t="s">
        <v>265</v>
      </c>
      <c r="AT5" s="230"/>
      <c r="AU5" s="231"/>
    </row>
    <row r="6" spans="1:48" s="32" customFormat="1" ht="15.75" thickBot="1" x14ac:dyDescent="0.3">
      <c r="A6" s="11" t="s">
        <v>21</v>
      </c>
      <c r="B6" s="11" t="s">
        <v>22</v>
      </c>
      <c r="C6" s="11" t="s">
        <v>23</v>
      </c>
      <c r="D6" s="18"/>
      <c r="E6" s="222" t="s">
        <v>24</v>
      </c>
      <c r="F6" s="222"/>
      <c r="G6" s="222"/>
      <c r="H6" s="222"/>
      <c r="I6" s="222"/>
      <c r="J6" s="222"/>
      <c r="K6" s="222"/>
      <c r="L6" s="36"/>
      <c r="M6" s="26"/>
      <c r="N6" s="61"/>
      <c r="O6" s="64"/>
      <c r="P6" s="82" t="s">
        <v>241</v>
      </c>
      <c r="Q6" s="52" t="s">
        <v>264</v>
      </c>
      <c r="R6" s="82" t="s">
        <v>261</v>
      </c>
      <c r="S6" s="82" t="s">
        <v>262</v>
      </c>
      <c r="T6" s="82" t="s">
        <v>264</v>
      </c>
      <c r="U6" s="82" t="s">
        <v>261</v>
      </c>
      <c r="V6" s="82" t="s">
        <v>262</v>
      </c>
      <c r="W6" s="84" t="s">
        <v>264</v>
      </c>
      <c r="X6" s="82" t="s">
        <v>261</v>
      </c>
      <c r="Y6" s="82" t="s">
        <v>262</v>
      </c>
      <c r="Z6" s="84" t="s">
        <v>264</v>
      </c>
      <c r="AA6" s="84" t="s">
        <v>261</v>
      </c>
      <c r="AB6" s="84" t="s">
        <v>262</v>
      </c>
      <c r="AC6" s="85" t="s">
        <v>279</v>
      </c>
      <c r="AD6" s="84" t="s">
        <v>261</v>
      </c>
      <c r="AE6" s="86" t="s">
        <v>262</v>
      </c>
      <c r="AF6" s="82" t="s">
        <v>276</v>
      </c>
      <c r="AG6" s="84" t="s">
        <v>264</v>
      </c>
      <c r="AH6" s="84" t="s">
        <v>277</v>
      </c>
      <c r="AI6" s="84" t="s">
        <v>262</v>
      </c>
      <c r="AJ6" s="84" t="s">
        <v>264</v>
      </c>
      <c r="AK6" s="84" t="s">
        <v>277</v>
      </c>
      <c r="AL6" s="84" t="s">
        <v>262</v>
      </c>
      <c r="AM6" s="84" t="s">
        <v>264</v>
      </c>
      <c r="AN6" s="84" t="s">
        <v>277</v>
      </c>
      <c r="AO6" s="84" t="s">
        <v>262</v>
      </c>
      <c r="AP6" s="85" t="s">
        <v>279</v>
      </c>
      <c r="AQ6" s="84" t="s">
        <v>261</v>
      </c>
      <c r="AR6" s="86" t="s">
        <v>262</v>
      </c>
      <c r="AS6" s="85" t="s">
        <v>279</v>
      </c>
      <c r="AT6" s="84" t="s">
        <v>261</v>
      </c>
      <c r="AU6" s="86" t="s">
        <v>262</v>
      </c>
    </row>
    <row r="7" spans="1:48" s="32" customFormat="1" ht="15.75" thickBot="1" x14ac:dyDescent="0.3">
      <c r="A7" s="11"/>
      <c r="B7" s="11"/>
      <c r="C7" s="11"/>
      <c r="D7" s="18"/>
      <c r="E7" s="48"/>
      <c r="F7" s="48"/>
      <c r="G7" s="48"/>
      <c r="H7" s="48"/>
      <c r="I7" s="48"/>
      <c r="J7" s="48"/>
      <c r="K7" s="48"/>
      <c r="L7" s="48"/>
      <c r="M7" s="26"/>
      <c r="N7" s="32" t="s">
        <v>479</v>
      </c>
      <c r="O7" s="93">
        <f>fcross</f>
        <v>2700</v>
      </c>
      <c r="P7" s="89" t="str">
        <f>COMPLEX(ADC_VINmin,0)</f>
        <v>111.538461538462</v>
      </c>
      <c r="Q7" s="90" t="str">
        <f>IMSUM(COMPLEX(1,0),IMDIV(COMPLEX(0,2*PI()*O7),COMPLEX(wp_lf_VINmin,0)))</f>
        <v>1+17.3887153376195i</v>
      </c>
      <c r="R7" s="90">
        <f t="shared" ref="R7:R13" si="0">IMABS(Q7)</f>
        <v>17.417445883158749</v>
      </c>
      <c r="S7" s="90">
        <f t="shared" ref="S7:S13" si="1">IMARGUMENT(Q7)</f>
        <v>1.5133510381997146</v>
      </c>
      <c r="T7" s="90" t="str">
        <f>IMSUM(COMPLEX(1,0),IMDIV(COMPLEX(0,2*PI()*O7),COMPLEX(wz_esr_VINmin,0)))</f>
        <v>1+0.00347774306752391i</v>
      </c>
      <c r="U7" s="90">
        <f t="shared" ref="U7:U13" si="2">IMABS(T7)</f>
        <v>1.0000060473301366</v>
      </c>
      <c r="V7" s="90">
        <f t="shared" ref="V7:V13" si="3">IMARGUMENT(T7)</f>
        <v>3.4777290468762877E-3</v>
      </c>
      <c r="W7" s="88" t="str">
        <f>IMSUB(COMPLEX(1,0),IMDIV(COMPLEX(0,2*PI()*O7),COMPLEX(wz_RHP_VINmin,0)))</f>
        <v>1-0.199334053870273i</v>
      </c>
      <c r="X7" s="90">
        <f t="shared" ref="X7:X13" si="4">IMABS(W7)</f>
        <v>1.0196735090372588</v>
      </c>
      <c r="Y7" s="90">
        <f t="shared" ref="Y7:Y13" si="5">IMARGUMENT(W7)</f>
        <v>-0.19675514510466011</v>
      </c>
      <c r="Z7" s="88" t="str">
        <f>IMSUM(COMPLEX(1,0),IMDIV(COMPLEX(0,2*PI()*O7),COMPLEX(Q_VINmin*(wsl_VINmin/2),0)),IMDIV(IMPOWER(COMPLEX(0,2*PI()*O7),2),IMPOWER(COMPLEX(wsl_VINmin/2,0),2)))</f>
        <v>0.999761959183673+0.0166102266066802i</v>
      </c>
      <c r="AA7" s="90">
        <f t="shared" ref="AA7:AA13" si="6">IMABS(Z7)</f>
        <v>0.99989993232258079</v>
      </c>
      <c r="AB7" s="90">
        <f t="shared" ref="AB7:AB13" si="7">IMARGUMENT(Z7)</f>
        <v>1.6612653036609033E-2</v>
      </c>
      <c r="AC7" s="91" t="str">
        <f t="shared" ref="AC7:AC13" si="8">(IMDIV(IMPRODUCT(P7,T7,W7),IMPRODUCT(Q7,Z7)))</f>
        <v>-0.991691369406822-6.45477877386501i</v>
      </c>
      <c r="AD7" s="92">
        <f t="shared" ref="AD7:AD13" si="9">20*LOG(IMABS(AC7))</f>
        <v>16.298948079335545</v>
      </c>
      <c r="AE7" s="93">
        <f t="shared" ref="AE7:AE13" si="10">(180/PI())*IMARGUMENT(AC7)</f>
        <v>-98.734442531402991</v>
      </c>
      <c r="AF7" s="88" t="str">
        <f t="shared" ref="AF7:AF13" si="11">COMPLEX(Adc_ea,0)</f>
        <v>-0.0000198412698412698</v>
      </c>
      <c r="AG7" s="88" t="str">
        <f t="shared" ref="AG7:AG13" si="12">COMPLEX(0,2*PI()*O7*wp0_ea)</f>
        <v>0.000586975171396717i</v>
      </c>
      <c r="AH7" s="88">
        <f t="shared" ref="AH7:AH13" si="13">IMABS(AG7)</f>
        <v>5.8697517139671702E-4</v>
      </c>
      <c r="AI7" s="88">
        <f t="shared" ref="AI7:AI13" si="14">IMARGUMENT(AG7)</f>
        <v>1.5707963267948966</v>
      </c>
      <c r="AJ7" s="88" t="str">
        <f t="shared" ref="AJ7:AJ13" si="15">IMSUM(COMPLEX(1,0),IMDIV(COMPLEX(0,2*PI()*O7),COMPLEX(wp1_ea,0)))</f>
        <v>1+0.203739946892234i</v>
      </c>
      <c r="AK7" s="88">
        <f t="shared" ref="AK7:AK13" si="16">IMABS(AJ7)</f>
        <v>1.0205439559174561</v>
      </c>
      <c r="AL7" s="88">
        <f t="shared" ref="AL7:AL13" si="17">IMARGUMENT(AJ7)</f>
        <v>0.20098906263065355</v>
      </c>
      <c r="AM7" s="88" t="str">
        <f t="shared" ref="AM7:AM13" si="18">IMSUM(COMPLEX(1,0),IMDIV(COMPLEX(0,2*PI()*O7),COMPLEX(wz_ea,0)))</f>
        <v>1+4.40587635154455i</v>
      </c>
      <c r="AN7" s="88">
        <f t="shared" ref="AN7:AN13" si="19">IMABS(AM7)</f>
        <v>4.517936080236141</v>
      </c>
      <c r="AO7" s="88">
        <f t="shared" ref="AO7:AO13" si="20">IMARGUMENT(AM7)</f>
        <v>1.3476079819529998</v>
      </c>
      <c r="AP7" s="87" t="str">
        <f t="shared" ref="AP7:AP13" si="21">IMPRODUCT(AF7,IMDIV(AM7,IMPRODUCT(AG7,AJ7)))</f>
        <v>-0.136381809436631+0.0615889935007699i</v>
      </c>
      <c r="AQ7" s="88">
        <f t="shared" ref="AQ7:AQ13" si="22">20*LOG(IMABS(AP7))</f>
        <v>-16.498838010162828</v>
      </c>
      <c r="AR7" s="93">
        <f t="shared" ref="AR7:AR13" si="23">(180/PI())*IMARGUMENT(AP7)</f>
        <v>155.69642478702193</v>
      </c>
      <c r="AS7" s="87" t="str">
        <f t="shared" ref="AS7:AS13" si="24">IMPRODUCT(AC7,AP7)</f>
        <v>0.532791991314872+0.819237135387702i</v>
      </c>
      <c r="AT7" s="92">
        <f t="shared" ref="AT7:AT13" si="25">20*LOG(IMABS(AS7))</f>
        <v>-0.19988993082728782</v>
      </c>
      <c r="AU7" s="93">
        <f t="shared" ref="AU7:AU13" si="26">(180/PI())*IMARGUMENT(AS7)</f>
        <v>56.96198225561897</v>
      </c>
    </row>
    <row r="8" spans="1:48" s="32" customFormat="1" ht="15.75" thickBot="1" x14ac:dyDescent="0.3">
      <c r="A8" s="11"/>
      <c r="B8" s="11"/>
      <c r="C8" s="11"/>
      <c r="D8" s="18"/>
      <c r="E8" s="107"/>
      <c r="F8" s="107"/>
      <c r="G8" s="107"/>
      <c r="H8" s="107"/>
      <c r="I8" s="107"/>
      <c r="J8" s="107"/>
      <c r="K8" s="107"/>
      <c r="L8" s="107"/>
      <c r="M8" s="26"/>
      <c r="N8" s="87" t="s">
        <v>309</v>
      </c>
      <c r="O8" s="93">
        <f>fcross</f>
        <v>2700</v>
      </c>
      <c r="P8" s="89" t="str">
        <f t="shared" ref="P8:P13" si="27">COMPLEX(Adc,0)</f>
        <v>122.692307692308</v>
      </c>
      <c r="Q8" s="90" t="str">
        <f t="shared" ref="Q8:Q13" si="28">IMSUM(COMPLEX(1,0),IMDIV(COMPLEX(0,2*PI()*O8),COMPLEX(wp_lf,0)))</f>
        <v>1+17.3887153376195i</v>
      </c>
      <c r="R8" s="90">
        <f t="shared" si="0"/>
        <v>17.417445883158749</v>
      </c>
      <c r="S8" s="90">
        <f t="shared" si="1"/>
        <v>1.5133510381997146</v>
      </c>
      <c r="T8" s="90" t="str">
        <f t="shared" ref="T8:T13" si="29">IMSUM(COMPLEX(1,0),IMDIV(COMPLEX(0,2*PI()*O8),COMPLEX(wz_esr,0)))</f>
        <v>1+0.00347774306752391i</v>
      </c>
      <c r="U8" s="90">
        <f t="shared" si="2"/>
        <v>1.0000060473301366</v>
      </c>
      <c r="V8" s="90">
        <f t="shared" si="3"/>
        <v>3.4777290468762877E-3</v>
      </c>
      <c r="W8" s="88" t="str">
        <f t="shared" ref="W8:W13" si="30">IMSUB(COMPLEX(1,0),IMDIV(COMPLEX(0,2*PI()*O8),COMPLEX(wz_rhp,0)))</f>
        <v>1-0.164738887496094i</v>
      </c>
      <c r="X8" s="90">
        <f t="shared" si="4"/>
        <v>1.0134786140089245</v>
      </c>
      <c r="Y8" s="90">
        <f t="shared" si="5"/>
        <v>-0.16327241604142373</v>
      </c>
      <c r="Z8" s="88" t="str">
        <f t="shared" ref="Z8:Z13" si="31">IMSUM(COMPLEX(1,0),IMDIV(COMPLEX(0,2*PI()*O8),COMPLEX(Q*(wsl/2),0)),IMDIV(IMPOWER(COMPLEX(0,2*PI()*O8),2),IMPOWER(COMPLEX(wsl/2,0),2)))</f>
        <v>0.999761959183673+0.0175796323397879i</v>
      </c>
      <c r="AA8" s="90">
        <f t="shared" si="6"/>
        <v>0.99991650576634583</v>
      </c>
      <c r="AB8" s="90">
        <f t="shared" si="7"/>
        <v>1.7582006091565069E-2</v>
      </c>
      <c r="AC8" s="91" t="str">
        <f t="shared" si="8"/>
        <v>-0.854235562605512-7.08851855107696i</v>
      </c>
      <c r="AD8" s="92">
        <f t="shared" si="9"/>
        <v>17.073726859885767</v>
      </c>
      <c r="AE8" s="93">
        <f t="shared" si="10"/>
        <v>-96.871563308406635</v>
      </c>
      <c r="AF8" s="88" t="str">
        <f t="shared" si="11"/>
        <v>-0.0000198412698412698</v>
      </c>
      <c r="AG8" s="88" t="str">
        <f t="shared" si="12"/>
        <v>0.000586975171396717i</v>
      </c>
      <c r="AH8" s="88">
        <f t="shared" si="13"/>
        <v>5.8697517139671702E-4</v>
      </c>
      <c r="AI8" s="88">
        <f t="shared" si="14"/>
        <v>1.5707963267948966</v>
      </c>
      <c r="AJ8" s="88" t="str">
        <f t="shared" si="15"/>
        <v>1+0.203739946892234i</v>
      </c>
      <c r="AK8" s="88">
        <f t="shared" si="16"/>
        <v>1.0205439559174561</v>
      </c>
      <c r="AL8" s="88">
        <f t="shared" si="17"/>
        <v>0.20098906263065355</v>
      </c>
      <c r="AM8" s="88" t="str">
        <f t="shared" si="18"/>
        <v>1+4.40587635154455i</v>
      </c>
      <c r="AN8" s="88">
        <f t="shared" si="19"/>
        <v>4.517936080236141</v>
      </c>
      <c r="AO8" s="88">
        <f t="shared" si="20"/>
        <v>1.3476079819529998</v>
      </c>
      <c r="AP8" s="87" t="str">
        <f t="shared" si="21"/>
        <v>-0.136381809436631+0.0615889935007699i</v>
      </c>
      <c r="AQ8" s="88">
        <f t="shared" si="22"/>
        <v>-16.498838010162828</v>
      </c>
      <c r="AR8" s="93">
        <f t="shared" si="23"/>
        <v>155.69642478702193</v>
      </c>
      <c r="AS8" s="87" t="str">
        <f t="shared" si="24"/>
        <v>0.553076914685624+0.914133477707564i</v>
      </c>
      <c r="AT8" s="92">
        <f t="shared" si="25"/>
        <v>0.57488884972293497</v>
      </c>
      <c r="AU8" s="93">
        <f t="shared" si="26"/>
        <v>58.824861478615304</v>
      </c>
    </row>
    <row r="9" spans="1:48" s="32" customFormat="1" x14ac:dyDescent="0.25">
      <c r="A9" s="72" t="s">
        <v>210</v>
      </c>
      <c r="B9" s="11"/>
      <c r="C9" s="11"/>
      <c r="D9" s="18"/>
      <c r="E9" s="36"/>
      <c r="F9" s="36"/>
      <c r="G9" s="36"/>
      <c r="H9" s="48"/>
      <c r="I9" s="48"/>
      <c r="J9" s="48"/>
      <c r="K9" s="36"/>
      <c r="L9" s="36"/>
      <c r="M9" s="26"/>
      <c r="N9" s="74" t="s">
        <v>310</v>
      </c>
      <c r="O9" s="94">
        <f>wz_rhp/(2*PI())</f>
        <v>16389.572863080288</v>
      </c>
      <c r="P9" s="75" t="str">
        <f t="shared" si="27"/>
        <v>122.692307692308</v>
      </c>
      <c r="Q9" s="76" t="str">
        <f t="shared" si="28"/>
        <v>1+105.553191489361i</v>
      </c>
      <c r="R9" s="76">
        <f t="shared" si="0"/>
        <v>105.55792833127084</v>
      </c>
      <c r="S9" s="76">
        <f t="shared" si="1"/>
        <v>1.5613227138300603</v>
      </c>
      <c r="T9" s="76" t="str">
        <f t="shared" si="29"/>
        <v>1+0.0211106382978723i</v>
      </c>
      <c r="U9" s="76">
        <f t="shared" si="2"/>
        <v>1.0002228047037038</v>
      </c>
      <c r="V9" s="76">
        <f t="shared" si="3"/>
        <v>2.1107503087172335E-2</v>
      </c>
      <c r="W9" s="77" t="str">
        <f t="shared" si="30"/>
        <v>1-i</v>
      </c>
      <c r="X9" s="76">
        <f t="shared" si="4"/>
        <v>1.4142135623730951</v>
      </c>
      <c r="Y9" s="76">
        <f t="shared" si="5"/>
        <v>-0.78539816339744828</v>
      </c>
      <c r="Z9" s="77" t="str">
        <f t="shared" si="31"/>
        <v>0.991228796779291+0.106712098199672i</v>
      </c>
      <c r="AA9" s="76">
        <f t="shared" si="6"/>
        <v>0.99695636788512321</v>
      </c>
      <c r="AB9" s="76">
        <f t="shared" si="7"/>
        <v>0.10724333392181928</v>
      </c>
      <c r="AC9" s="78" t="str">
        <f t="shared" si="8"/>
        <v>-1.25201583452075-1.07339464771544i</v>
      </c>
      <c r="AD9" s="79">
        <f t="shared" si="9"/>
        <v>4.3452415017835513</v>
      </c>
      <c r="AE9" s="80">
        <f t="shared" si="10"/>
        <v>-139.39242153205228</v>
      </c>
      <c r="AF9" s="77" t="str">
        <f t="shared" si="11"/>
        <v>-0.0000198412698412698</v>
      </c>
      <c r="AG9" s="77" t="str">
        <f t="shared" si="12"/>
        <v>0.00356306382978724i</v>
      </c>
      <c r="AH9" s="77">
        <f t="shared" si="13"/>
        <v>3.5630638297872402E-3</v>
      </c>
      <c r="AI9" s="77">
        <f t="shared" si="14"/>
        <v>1.5707963267948966</v>
      </c>
      <c r="AJ9" s="77" t="str">
        <f t="shared" si="15"/>
        <v>1+1.23674470544828i</v>
      </c>
      <c r="AK9" s="77">
        <f t="shared" si="16"/>
        <v>1.5904519692384151</v>
      </c>
      <c r="AL9" s="77">
        <f t="shared" si="17"/>
        <v>0.89084896876609987</v>
      </c>
      <c r="AM9" s="77" t="str">
        <f t="shared" si="18"/>
        <v>1+26.7446042553191i</v>
      </c>
      <c r="AN9" s="77">
        <f t="shared" si="19"/>
        <v>26.763293085374091</v>
      </c>
      <c r="AO9" s="77">
        <f t="shared" si="20"/>
        <v>1.5334230174344934</v>
      </c>
      <c r="AP9" s="74" t="str">
        <f t="shared" si="21"/>
        <v>-0.0561537496825306+0.0750164505337131i</v>
      </c>
      <c r="AQ9" s="77">
        <f t="shared" si="22"/>
        <v>-20.564702941092136</v>
      </c>
      <c r="AR9" s="80">
        <f t="shared" si="23"/>
        <v>126.81678101333296</v>
      </c>
      <c r="AS9" s="74" t="str">
        <f t="shared" si="24"/>
        <v>0.150827640263741-0.0336466495593704i</v>
      </c>
      <c r="AT9" s="79">
        <f t="shared" si="25"/>
        <v>-16.219461439308557</v>
      </c>
      <c r="AU9" s="80">
        <f t="shared" si="26"/>
        <v>-12.575640518719272</v>
      </c>
    </row>
    <row r="10" spans="1:48" s="32" customFormat="1" x14ac:dyDescent="0.25">
      <c r="A10" s="32" t="s">
        <v>27</v>
      </c>
      <c r="B10" s="3">
        <f>VIN_min</f>
        <v>20</v>
      </c>
      <c r="C10" s="32" t="s">
        <v>12</v>
      </c>
      <c r="E10" s="32" t="s">
        <v>30</v>
      </c>
      <c r="N10" s="61" t="s">
        <v>260</v>
      </c>
      <c r="O10" s="95">
        <f>wz_esr/(2*PI())</f>
        <v>776365.57605802605</v>
      </c>
      <c r="P10" s="81" t="str">
        <f t="shared" si="27"/>
        <v>122.692307692308</v>
      </c>
      <c r="Q10" s="82" t="str">
        <f t="shared" si="28"/>
        <v>1+4999.99999999999i</v>
      </c>
      <c r="R10" s="82">
        <f t="shared" si="0"/>
        <v>5000.0000999999893</v>
      </c>
      <c r="S10" s="82">
        <f t="shared" si="1"/>
        <v>1.5705963267975633</v>
      </c>
      <c r="T10" s="82" t="str">
        <f t="shared" si="29"/>
        <v>1+i</v>
      </c>
      <c r="U10" s="82">
        <f t="shared" si="2"/>
        <v>1.4142135623730951</v>
      </c>
      <c r="V10" s="82">
        <f t="shared" si="3"/>
        <v>0.78539816339744828</v>
      </c>
      <c r="W10" s="52" t="str">
        <f t="shared" si="30"/>
        <v>1-47.3694819592825i</v>
      </c>
      <c r="X10" s="82">
        <f t="shared" si="4"/>
        <v>47.380036102675042</v>
      </c>
      <c r="Y10" s="82">
        <f t="shared" si="5"/>
        <v>-1.5496888237077242</v>
      </c>
      <c r="Z10" s="52" t="str">
        <f t="shared" si="31"/>
        <v>-18.681420659197+5.05489681050656i</v>
      </c>
      <c r="AA10" s="82">
        <f t="shared" si="6"/>
        <v>19.353228661149583</v>
      </c>
      <c r="AB10" s="82">
        <f t="shared" si="7"/>
        <v>2.8773364162907864</v>
      </c>
      <c r="AC10" s="69" t="str">
        <f t="shared" si="8"/>
        <v>0.0407186892429305+0.074564402255661i</v>
      </c>
      <c r="AD10" s="67">
        <f t="shared" si="9"/>
        <v>-21.415914413755111</v>
      </c>
      <c r="AE10" s="64">
        <f t="shared" si="10"/>
        <v>61.361597105944789</v>
      </c>
      <c r="AF10" s="52" t="str">
        <f t="shared" si="11"/>
        <v>-0.0000198412698412698</v>
      </c>
      <c r="AG10" s="52" t="str">
        <f t="shared" si="12"/>
        <v>0.168780487804878i</v>
      </c>
      <c r="AH10" s="52">
        <f t="shared" si="13"/>
        <v>0.168780487804878</v>
      </c>
      <c r="AI10" s="52">
        <f t="shared" si="14"/>
        <v>1.5707963267948966</v>
      </c>
      <c r="AJ10" s="52" t="str">
        <f t="shared" si="15"/>
        <v>1+58.5839560129705i</v>
      </c>
      <c r="AK10" s="52">
        <f t="shared" si="16"/>
        <v>58.592490151295529</v>
      </c>
      <c r="AL10" s="52">
        <f t="shared" si="17"/>
        <v>1.5537284644962452</v>
      </c>
      <c r="AM10" s="52" t="str">
        <f t="shared" si="18"/>
        <v>1+1266.87804878049i</v>
      </c>
      <c r="AN10" s="52">
        <f t="shared" si="19"/>
        <v>1266.8784434514077</v>
      </c>
      <c r="AO10" s="52">
        <f t="shared" si="20"/>
        <v>1.5700069850004945</v>
      </c>
      <c r="AP10" s="61" t="str">
        <f t="shared" si="21"/>
        <v>-0.0000413748056419388+0.00254145645034654i</v>
      </c>
      <c r="AQ10" s="52">
        <f t="shared" si="22"/>
        <v>-51.897195668035458</v>
      </c>
      <c r="AR10" s="64">
        <f t="shared" si="23"/>
        <v>90.932690521610638</v>
      </c>
      <c r="AS10" s="61" t="str">
        <f t="shared" si="24"/>
        <v>-0.000191186908932304+0.000100399687774967i</v>
      </c>
      <c r="AT10" s="67">
        <f t="shared" si="25"/>
        <v>-73.313110081790583</v>
      </c>
      <c r="AU10" s="64">
        <f t="shared" si="26"/>
        <v>152.29428762755529</v>
      </c>
    </row>
    <row r="11" spans="1:48" s="32" customFormat="1" ht="15.75" thickBot="1" x14ac:dyDescent="0.3">
      <c r="A11" s="32" t="s">
        <v>28</v>
      </c>
      <c r="B11" s="3">
        <f>VIN_nom</f>
        <v>22</v>
      </c>
      <c r="C11" s="32" t="s">
        <v>12</v>
      </c>
      <c r="E11" s="32" t="s">
        <v>31</v>
      </c>
      <c r="N11" s="65" t="s">
        <v>258</v>
      </c>
      <c r="O11" s="96">
        <f>wp_lf/(2*PI())</f>
        <v>155.27311521160524</v>
      </c>
      <c r="P11" s="83" t="str">
        <f t="shared" si="27"/>
        <v>122.692307692308</v>
      </c>
      <c r="Q11" s="57" t="str">
        <f t="shared" si="28"/>
        <v>1+i</v>
      </c>
      <c r="R11" s="57">
        <f t="shared" si="0"/>
        <v>1.4142135623730951</v>
      </c>
      <c r="S11" s="57">
        <f t="shared" si="1"/>
        <v>0.78539816339744828</v>
      </c>
      <c r="T11" s="57" t="str">
        <f t="shared" si="29"/>
        <v>1+0.0002i</v>
      </c>
      <c r="U11" s="57">
        <f t="shared" si="2"/>
        <v>1.0000000199999999</v>
      </c>
      <c r="V11" s="57">
        <f t="shared" si="3"/>
        <v>1.999999973333334E-4</v>
      </c>
      <c r="W11" s="58" t="str">
        <f t="shared" si="30"/>
        <v>1-0.00947389639185651i</v>
      </c>
      <c r="X11" s="57">
        <f t="shared" si="4"/>
        <v>1.0000448763494785</v>
      </c>
      <c r="Y11" s="57">
        <f t="shared" si="5"/>
        <v>-9.4736129648363126E-3</v>
      </c>
      <c r="Z11" s="58" t="str">
        <f t="shared" si="31"/>
        <v>0.999999212743174+0.00101097936210131i</v>
      </c>
      <c r="AA11" s="57">
        <f t="shared" si="6"/>
        <v>0.99999972378308111</v>
      </c>
      <c r="AB11" s="57">
        <f t="shared" si="7"/>
        <v>1.0109798135680549E-3</v>
      </c>
      <c r="AC11" s="62" t="str">
        <f t="shared" si="8"/>
        <v>60.7147429250285-61.9766181019712i</v>
      </c>
      <c r="AD11" s="68">
        <f t="shared" si="9"/>
        <v>38.766439100268222</v>
      </c>
      <c r="AE11" s="66">
        <f t="shared" si="10"/>
        <v>-45.589263760366173</v>
      </c>
      <c r="AF11" s="58" t="str">
        <f t="shared" si="11"/>
        <v>-0.0000198412698412698</v>
      </c>
      <c r="AG11" s="58" t="str">
        <f t="shared" si="12"/>
        <v>0.0000337560975609756i</v>
      </c>
      <c r="AH11" s="58">
        <f t="shared" si="13"/>
        <v>3.3756097560975601E-5</v>
      </c>
      <c r="AI11" s="58">
        <f t="shared" si="14"/>
        <v>1.5707963267948966</v>
      </c>
      <c r="AJ11" s="58" t="str">
        <f t="shared" si="15"/>
        <v>1+0.0117167912025941i</v>
      </c>
      <c r="AK11" s="58">
        <f t="shared" si="16"/>
        <v>1.0000686392423697</v>
      </c>
      <c r="AL11" s="58">
        <f t="shared" si="17"/>
        <v>1.1716255073906232E-2</v>
      </c>
      <c r="AM11" s="58" t="str">
        <f t="shared" si="18"/>
        <v>1+0.253375609756098i</v>
      </c>
      <c r="AN11" s="58">
        <f t="shared" si="19"/>
        <v>1.031600310013173</v>
      </c>
      <c r="AO11" s="58">
        <f t="shared" si="20"/>
        <v>0.24815317553915073</v>
      </c>
      <c r="AP11" s="65" t="str">
        <f t="shared" si="21"/>
        <v>-0.142023516261629+0.589447342755882i</v>
      </c>
      <c r="AQ11" s="58">
        <f t="shared" si="22"/>
        <v>-4.3460222897807723</v>
      </c>
      <c r="AR11" s="66">
        <f t="shared" si="23"/>
        <v>103.54683766372881</v>
      </c>
      <c r="AS11" s="65" t="str">
        <f t="shared" si="24"/>
        <v>27.9090315740696+44.5902811121106i</v>
      </c>
      <c r="AT11" s="68">
        <f t="shared" si="25"/>
        <v>34.420416810487446</v>
      </c>
      <c r="AU11" s="66">
        <f t="shared" si="26"/>
        <v>57.957573903362629</v>
      </c>
    </row>
    <row r="12" spans="1:48" s="32" customFormat="1" x14ac:dyDescent="0.25">
      <c r="A12" s="32" t="s">
        <v>29</v>
      </c>
      <c r="B12" s="3">
        <f>VIN_max</f>
        <v>25</v>
      </c>
      <c r="C12" s="32" t="s">
        <v>12</v>
      </c>
      <c r="E12" s="32" t="s">
        <v>32</v>
      </c>
      <c r="N12" s="74" t="s">
        <v>269</v>
      </c>
      <c r="O12" s="80">
        <f>wz_ea/(2*PI())</f>
        <v>612.8179241919654</v>
      </c>
      <c r="P12" s="75" t="str">
        <f t="shared" si="27"/>
        <v>122.692307692308</v>
      </c>
      <c r="Q12" s="76" t="str">
        <f t="shared" si="28"/>
        <v>1+3.94670979169073i</v>
      </c>
      <c r="R12" s="76">
        <f t="shared" si="0"/>
        <v>4.0714270446401812</v>
      </c>
      <c r="S12" s="76">
        <f t="shared" si="1"/>
        <v>1.3226431512557462</v>
      </c>
      <c r="T12" s="76" t="str">
        <f t="shared" si="29"/>
        <v>1+0.000789341958338147i</v>
      </c>
      <c r="U12" s="76">
        <f t="shared" si="2"/>
        <v>1.0000003115303151</v>
      </c>
      <c r="V12" s="76">
        <f t="shared" si="3"/>
        <v>7.8934179440221669E-4</v>
      </c>
      <c r="W12" s="77" t="str">
        <f t="shared" si="30"/>
        <v>1-0.0373907196552036i</v>
      </c>
      <c r="X12" s="76">
        <f t="shared" si="4"/>
        <v>1.0006987888052699</v>
      </c>
      <c r="Y12" s="76">
        <f t="shared" si="5"/>
        <v>-3.7373309360403256E-2</v>
      </c>
      <c r="Z12" s="77" t="str">
        <f t="shared" si="31"/>
        <v>0.999987737279732+0.0039900421476025i</v>
      </c>
      <c r="AA12" s="76">
        <f t="shared" si="6"/>
        <v>0.99999569756383344</v>
      </c>
      <c r="AB12" s="76">
        <f t="shared" si="7"/>
        <v>3.9900699019925065E-3</v>
      </c>
      <c r="AC12" s="78" t="str">
        <f t="shared" si="8"/>
        <v>6.21493191515684-29.5087898520969i</v>
      </c>
      <c r="AD12" s="79">
        <f t="shared" si="9"/>
        <v>29.587521118285931</v>
      </c>
      <c r="AE12" s="80">
        <f t="shared" si="10"/>
        <v>-78.106591473559348</v>
      </c>
      <c r="AF12" s="77" t="str">
        <f t="shared" si="11"/>
        <v>-0.0000198412698412698</v>
      </c>
      <c r="AG12" s="77" t="str">
        <f t="shared" si="12"/>
        <v>0.00013322552077317i</v>
      </c>
      <c r="AH12" s="77">
        <f t="shared" si="13"/>
        <v>1.3322552077317E-4</v>
      </c>
      <c r="AI12" s="77">
        <f t="shared" si="14"/>
        <v>1.5707963267948966</v>
      </c>
      <c r="AJ12" s="77" t="str">
        <f t="shared" si="15"/>
        <v>1+0.046242774566474i</v>
      </c>
      <c r="AK12" s="77">
        <f t="shared" si="16"/>
        <v>1.0010686261189119</v>
      </c>
      <c r="AL12" s="77">
        <f t="shared" si="17"/>
        <v>4.6209855032824744E-2</v>
      </c>
      <c r="AM12" s="77" t="str">
        <f t="shared" si="18"/>
        <v>1+i</v>
      </c>
      <c r="AN12" s="77">
        <f t="shared" si="19"/>
        <v>1.4142135623730951</v>
      </c>
      <c r="AO12" s="77">
        <f t="shared" si="20"/>
        <v>0.78539816339744828</v>
      </c>
      <c r="AP12" s="74" t="str">
        <f t="shared" si="21"/>
        <v>-0.141739917885602+0.155484394771478i</v>
      </c>
      <c r="AQ12" s="77">
        <f t="shared" si="22"/>
        <v>-13.539336315973802</v>
      </c>
      <c r="AR12" s="80">
        <f t="shared" si="23"/>
        <v>132.35237033470787</v>
      </c>
      <c r="AS12" s="74" t="str">
        <f t="shared" si="24"/>
        <v>3.70725239127308+5.1488983779138i</v>
      </c>
      <c r="AT12" s="79">
        <f t="shared" si="25"/>
        <v>16.048184802312125</v>
      </c>
      <c r="AU12" s="80">
        <f t="shared" si="26"/>
        <v>54.245778861148516</v>
      </c>
    </row>
    <row r="13" spans="1:48" s="32" customFormat="1" ht="15.75" thickBot="1" x14ac:dyDescent="0.3">
      <c r="A13" s="32" t="s">
        <v>70</v>
      </c>
      <c r="B13" s="3">
        <f>Fsw</f>
        <v>350000</v>
      </c>
      <c r="C13" s="32" t="s">
        <v>71</v>
      </c>
      <c r="E13" s="32" t="s">
        <v>72</v>
      </c>
      <c r="N13" s="65" t="s">
        <v>275</v>
      </c>
      <c r="O13" s="66">
        <f>wp1_ea/(2*PI())</f>
        <v>13252.187610651252</v>
      </c>
      <c r="P13" s="83" t="str">
        <f t="shared" si="27"/>
        <v>122.692307692308</v>
      </c>
      <c r="Q13" s="57" t="str">
        <f t="shared" si="28"/>
        <v>1+85.3475992453121i</v>
      </c>
      <c r="R13" s="57">
        <f t="shared" si="0"/>
        <v>85.353457439862368</v>
      </c>
      <c r="S13" s="57">
        <f t="shared" si="1"/>
        <v>1.5590800717209903</v>
      </c>
      <c r="T13" s="57" t="str">
        <f t="shared" si="29"/>
        <v>1+0.0170695198490624i</v>
      </c>
      <c r="U13" s="57">
        <f t="shared" si="2"/>
        <v>1.0001456736435337</v>
      </c>
      <c r="V13" s="57">
        <f t="shared" si="3"/>
        <v>1.7067862298651343E-2</v>
      </c>
      <c r="W13" s="58" t="str">
        <f t="shared" si="30"/>
        <v>1-0.808574312543778i</v>
      </c>
      <c r="X13" s="57">
        <f t="shared" si="4"/>
        <v>1.2859986076608494</v>
      </c>
      <c r="Y13" s="57">
        <f t="shared" si="5"/>
        <v>-0.6799473580287968</v>
      </c>
      <c r="Z13" s="58" t="str">
        <f t="shared" si="31"/>
        <v>0.99426545382962+0.0862846614419041i</v>
      </c>
      <c r="AA13" s="57">
        <f t="shared" si="6"/>
        <v>0.99800242258181115</v>
      </c>
      <c r="AB13" s="57">
        <f t="shared" si="7"/>
        <v>8.6565440334374966E-2</v>
      </c>
      <c r="AC13" s="62" t="str">
        <f t="shared" si="8"/>
        <v>-1.24603710438126-1.37087870326129i</v>
      </c>
      <c r="AD13" s="68">
        <f t="shared" si="9"/>
        <v>5.3553676139743986</v>
      </c>
      <c r="AE13" s="66">
        <f t="shared" si="10"/>
        <v>-132.26873984651522</v>
      </c>
      <c r="AF13" s="58" t="str">
        <f t="shared" si="11"/>
        <v>-0.0000198412698412698</v>
      </c>
      <c r="AG13" s="58" t="str">
        <f t="shared" si="12"/>
        <v>0.0028810018867198i</v>
      </c>
      <c r="AH13" s="58">
        <f t="shared" si="13"/>
        <v>2.8810018867197998E-3</v>
      </c>
      <c r="AI13" s="58">
        <f t="shared" si="14"/>
        <v>1.5707963267948966</v>
      </c>
      <c r="AJ13" s="58" t="str">
        <f t="shared" si="15"/>
        <v>1+i</v>
      </c>
      <c r="AK13" s="58">
        <f t="shared" si="16"/>
        <v>1.4142135623730951</v>
      </c>
      <c r="AL13" s="58">
        <f t="shared" si="17"/>
        <v>0.78539816339744828</v>
      </c>
      <c r="AM13" s="58" t="str">
        <f t="shared" si="18"/>
        <v>1+21.625i</v>
      </c>
      <c r="AN13" s="58">
        <f t="shared" si="19"/>
        <v>21.64810903982147</v>
      </c>
      <c r="AO13" s="58">
        <f t="shared" si="20"/>
        <v>1.5245864717620718</v>
      </c>
      <c r="AP13" s="65" t="str">
        <f t="shared" si="21"/>
        <v>-0.0710215068519304+0.0779084408496935i</v>
      </c>
      <c r="AQ13" s="58">
        <f t="shared" si="22"/>
        <v>-19.541382204080207</v>
      </c>
      <c r="AR13" s="66">
        <f t="shared" si="23"/>
        <v>132.35237033470773</v>
      </c>
      <c r="AS13" s="65" t="str">
        <f t="shared" si="24"/>
        <v>0.19529845511171+0.000285063173626407i</v>
      </c>
      <c r="AT13" s="68">
        <f t="shared" si="25"/>
        <v>-14.186014590105804</v>
      </c>
      <c r="AU13" s="66">
        <f t="shared" si="26"/>
        <v>8.3630488192522293E-2</v>
      </c>
    </row>
    <row r="14" spans="1:48" s="32" customFormat="1" x14ac:dyDescent="0.25">
      <c r="B14" s="27"/>
      <c r="O14" s="53"/>
    </row>
    <row r="15" spans="1:48" ht="15.75" thickBot="1" x14ac:dyDescent="0.3">
      <c r="A15" s="71" t="s">
        <v>268</v>
      </c>
      <c r="N15" s="32"/>
      <c r="O15" s="53" t="s">
        <v>237</v>
      </c>
      <c r="P15" s="32">
        <f>B16</f>
        <v>22</v>
      </c>
      <c r="Q15" s="32" t="s">
        <v>12</v>
      </c>
      <c r="R15" s="32"/>
      <c r="S15" s="32"/>
      <c r="T15" s="32"/>
      <c r="U15" s="32"/>
      <c r="V15" s="32"/>
      <c r="W15" s="32"/>
      <c r="X15" s="32"/>
      <c r="Y15" s="32"/>
      <c r="Z15" s="32"/>
      <c r="AA15" s="32"/>
      <c r="AB15" s="32"/>
      <c r="AD15" s="32"/>
      <c r="AE15" s="32"/>
      <c r="AF15" s="32"/>
      <c r="AG15" s="32"/>
      <c r="AH15" s="32"/>
      <c r="AI15" s="32"/>
      <c r="AJ15" s="32"/>
      <c r="AK15" s="32"/>
      <c r="AL15" s="32"/>
      <c r="AM15" s="32"/>
      <c r="AN15" s="32"/>
      <c r="AO15" s="32"/>
      <c r="AQ15" s="32"/>
      <c r="AR15" s="32"/>
      <c r="AT15" s="32"/>
      <c r="AU15" s="32"/>
      <c r="AV15" s="32"/>
    </row>
    <row r="16" spans="1:48" ht="15.75" thickBot="1" x14ac:dyDescent="0.3">
      <c r="A16" t="s">
        <v>239</v>
      </c>
      <c r="B16">
        <f>VIN_var</f>
        <v>22</v>
      </c>
      <c r="C16" t="s">
        <v>12</v>
      </c>
      <c r="E16" t="s">
        <v>240</v>
      </c>
      <c r="F16" s="32"/>
      <c r="G16" s="32"/>
      <c r="N16" s="32"/>
      <c r="O16" s="70"/>
      <c r="P16" s="233" t="s">
        <v>266</v>
      </c>
      <c r="Q16" s="233"/>
      <c r="R16" s="233"/>
      <c r="S16" s="233"/>
      <c r="T16" s="233"/>
      <c r="U16" s="233"/>
      <c r="V16" s="233"/>
      <c r="W16" s="233"/>
      <c r="X16" s="233"/>
      <c r="Y16" s="233"/>
      <c r="Z16" s="233"/>
      <c r="AA16" s="233"/>
      <c r="AB16" s="233"/>
      <c r="AC16" s="233"/>
      <c r="AD16" s="233"/>
      <c r="AE16" s="234"/>
      <c r="AF16" s="232" t="s">
        <v>267</v>
      </c>
      <c r="AG16" s="233"/>
      <c r="AH16" s="233"/>
      <c r="AI16" s="233"/>
      <c r="AJ16" s="233"/>
      <c r="AK16" s="233"/>
      <c r="AL16" s="233"/>
      <c r="AM16" s="233"/>
      <c r="AN16" s="233"/>
      <c r="AO16" s="233"/>
      <c r="AP16" s="233"/>
      <c r="AQ16" s="233"/>
      <c r="AR16" s="234"/>
      <c r="AS16" s="232" t="s">
        <v>278</v>
      </c>
      <c r="AT16" s="233"/>
      <c r="AU16" s="234"/>
      <c r="AV16" s="32"/>
    </row>
    <row r="17" spans="1:48" x14ac:dyDescent="0.25">
      <c r="A17" t="s">
        <v>459</v>
      </c>
      <c r="C17" t="s">
        <v>13</v>
      </c>
      <c r="E17" t="s">
        <v>460</v>
      </c>
      <c r="N17" s="32"/>
      <c r="O17" s="55"/>
      <c r="P17" s="52"/>
      <c r="Q17" s="235" t="s">
        <v>258</v>
      </c>
      <c r="R17" s="235"/>
      <c r="S17" s="235"/>
      <c r="T17" s="230" t="s">
        <v>260</v>
      </c>
      <c r="U17" s="230"/>
      <c r="V17" s="230"/>
      <c r="W17" s="230" t="s">
        <v>260</v>
      </c>
      <c r="X17" s="230"/>
      <c r="Y17" s="230"/>
      <c r="Z17" s="230" t="s">
        <v>263</v>
      </c>
      <c r="AA17" s="230"/>
      <c r="AB17" s="230"/>
      <c r="AC17" s="229" t="s">
        <v>265</v>
      </c>
      <c r="AD17" s="230"/>
      <c r="AE17" s="231"/>
      <c r="AF17" s="52"/>
      <c r="AG17" s="230" t="s">
        <v>274</v>
      </c>
      <c r="AH17" s="230"/>
      <c r="AI17" s="230"/>
      <c r="AJ17" s="230" t="s">
        <v>275</v>
      </c>
      <c r="AK17" s="230"/>
      <c r="AL17" s="230"/>
      <c r="AM17" s="230" t="s">
        <v>269</v>
      </c>
      <c r="AN17" s="230"/>
      <c r="AO17" s="230"/>
      <c r="AP17" s="229" t="s">
        <v>265</v>
      </c>
      <c r="AQ17" s="230"/>
      <c r="AR17" s="231"/>
      <c r="AS17" s="229" t="s">
        <v>265</v>
      </c>
      <c r="AT17" s="230"/>
      <c r="AU17" s="231"/>
      <c r="AV17" s="32"/>
    </row>
    <row r="18" spans="1:48" ht="15.75" thickBot="1" x14ac:dyDescent="0.3">
      <c r="N18" s="11"/>
      <c r="O18" s="56" t="s">
        <v>236</v>
      </c>
      <c r="P18" s="57" t="s">
        <v>241</v>
      </c>
      <c r="Q18" s="58" t="s">
        <v>264</v>
      </c>
      <c r="R18" s="57" t="s">
        <v>261</v>
      </c>
      <c r="S18" s="57" t="s">
        <v>262</v>
      </c>
      <c r="T18" s="57" t="s">
        <v>264</v>
      </c>
      <c r="U18" s="57" t="s">
        <v>261</v>
      </c>
      <c r="V18" s="57" t="s">
        <v>262</v>
      </c>
      <c r="W18" s="59" t="s">
        <v>264</v>
      </c>
      <c r="X18" s="57" t="s">
        <v>261</v>
      </c>
      <c r="Y18" s="57" t="s">
        <v>262</v>
      </c>
      <c r="Z18" s="59" t="s">
        <v>264</v>
      </c>
      <c r="AA18" s="59" t="s">
        <v>261</v>
      </c>
      <c r="AB18" s="59" t="s">
        <v>262</v>
      </c>
      <c r="AC18" s="63" t="s">
        <v>279</v>
      </c>
      <c r="AD18" s="59" t="s">
        <v>261</v>
      </c>
      <c r="AE18" s="60" t="s">
        <v>262</v>
      </c>
      <c r="AF18" s="57" t="s">
        <v>276</v>
      </c>
      <c r="AG18" s="59" t="s">
        <v>264</v>
      </c>
      <c r="AH18" s="59" t="s">
        <v>277</v>
      </c>
      <c r="AI18" s="59" t="s">
        <v>262</v>
      </c>
      <c r="AJ18" s="59" t="s">
        <v>264</v>
      </c>
      <c r="AK18" s="59" t="s">
        <v>277</v>
      </c>
      <c r="AL18" s="59" t="s">
        <v>262</v>
      </c>
      <c r="AM18" s="59" t="s">
        <v>264</v>
      </c>
      <c r="AN18" s="59" t="s">
        <v>277</v>
      </c>
      <c r="AO18" s="59" t="s">
        <v>262</v>
      </c>
      <c r="AP18" s="63" t="s">
        <v>279</v>
      </c>
      <c r="AQ18" s="59" t="s">
        <v>261</v>
      </c>
      <c r="AR18" s="60" t="s">
        <v>262</v>
      </c>
      <c r="AS18" s="63" t="s">
        <v>279</v>
      </c>
      <c r="AT18" s="59" t="s">
        <v>261</v>
      </c>
      <c r="AU18" s="60" t="s">
        <v>262</v>
      </c>
      <c r="AV18" s="32"/>
    </row>
    <row r="19" spans="1:48" x14ac:dyDescent="0.25">
      <c r="A19" t="s">
        <v>33</v>
      </c>
      <c r="B19" s="46">
        <f>VOUT</f>
        <v>100</v>
      </c>
      <c r="C19" t="s">
        <v>12</v>
      </c>
      <c r="E19" t="s">
        <v>211</v>
      </c>
      <c r="N19" s="11">
        <v>1</v>
      </c>
      <c r="O19" s="53">
        <f>10^(1+(N19/100))</f>
        <v>10.232929922807543</v>
      </c>
      <c r="P19" s="51" t="str">
        <f t="shared" ref="P19:P82" si="32">COMPLEX(Adc,0)</f>
        <v>122.692307692308</v>
      </c>
      <c r="Q19" s="18" t="str">
        <f t="shared" ref="Q19:Q82" si="33">IMSUM(COMPLEX(1,0),IMDIV(COMPLEX(0,2*PI()*O19),COMPLEX(wp_lf,0)))</f>
        <v>1+0.0659027798138923i</v>
      </c>
      <c r="R19" s="18">
        <f>IMABS(Q19)</f>
        <v>1.0021692354024836</v>
      </c>
      <c r="S19" s="18">
        <f>IMARGUMENT(Q19)</f>
        <v>6.5807618540015156E-2</v>
      </c>
      <c r="T19" s="18" t="str">
        <f t="shared" ref="T19:T82" si="34">IMSUM(COMPLEX(1,0),IMDIV(COMPLEX(0,2*PI()*O19),COMPLEX(wz_esr,0)))</f>
        <v>1+0.0000131805559627785i</v>
      </c>
      <c r="U19" s="18">
        <f>IMABS(T19)</f>
        <v>1.0000000000868634</v>
      </c>
      <c r="V19" s="18">
        <f>IMARGUMENT(T19)</f>
        <v>1.3180555962015226E-5</v>
      </c>
      <c r="W19" s="32" t="str">
        <f t="shared" ref="W19:W82" si="35">IMSUB(COMPLEX(1,0),IMDIV(COMPLEX(0,2*PI()*O19),COMPLEX(wz_rhp,0)))</f>
        <v>1-0.000624356107892148i</v>
      </c>
      <c r="X19" s="18">
        <f>IMABS(W19)</f>
        <v>1.0000001949102557</v>
      </c>
      <c r="Y19" s="18">
        <f>IMARGUMENT(W19)</f>
        <v>-6.2435602676321996E-4</v>
      </c>
      <c r="Z19" s="32" t="str">
        <f t="shared" ref="Z19:Z82" si="36">IMSUM(COMPLEX(1,0),IMDIV(COMPLEX(0,2*PI()*O19),COMPLEX(Q*(wsl/2),0)),IMDIV(IMPOWER(COMPLEX(0,2*PI()*O19),2),IMPOWER(COMPLEX(wsl/2,0),2)))</f>
        <v>0.999999996580805+0.0000666263502969521i</v>
      </c>
      <c r="AA19" s="18">
        <f>IMABS(Z19)</f>
        <v>0.99999999880034018</v>
      </c>
      <c r="AB19" s="18">
        <f>IMARGUMENT(Z19)</f>
        <v>6.6626350426174225E-5</v>
      </c>
      <c r="AC19" s="69" t="str">
        <f>(IMDIV(IMPRODUCT(P19,T19,W19),IMPRODUCT(Q19,Z19)))</f>
        <v>122.156276777613-8.13359929091272i</v>
      </c>
      <c r="AD19" s="67">
        <f>20*LOG(IMABS(AC19))</f>
        <v>41.757527073143883</v>
      </c>
      <c r="AE19" s="64">
        <f>(180/PI())*IMARGUMENT(AC19)</f>
        <v>-3.8093339858523532</v>
      </c>
      <c r="AF19" s="32" t="str">
        <f t="shared" ref="AF19:AF82" si="37">COMPLEX(Adc_ea,0)</f>
        <v>-0.0000198412698412698</v>
      </c>
      <c r="AG19" s="32" t="str">
        <f t="shared" ref="AG19:AG82" si="38">COMPLEX(0,2*PI()*O19*wp0_ea)</f>
        <v>2.22462066493724E-06i</v>
      </c>
      <c r="AH19" s="32">
        <f>IMABS(AG19)</f>
        <v>2.2246206649372401E-6</v>
      </c>
      <c r="AI19" s="32">
        <f>IMARGUMENT(AG19)</f>
        <v>1.5707963267948966</v>
      </c>
      <c r="AJ19" s="32" t="str">
        <f t="shared" ref="AJ19:AJ82" si="39">IMSUM(COMPLEX(1,0),IMDIV(COMPLEX(0,2*PI()*O19),COMPLEX(wp1_ea,0)))</f>
        <v>1+0.00077216911074991i</v>
      </c>
      <c r="AK19" s="32">
        <f>IMABS(AJ19)</f>
        <v>1.0000002981225233</v>
      </c>
      <c r="AL19" s="32">
        <f>IMARGUMENT(AJ19)</f>
        <v>7.721689572826061E-4</v>
      </c>
      <c r="AM19" s="32" t="str">
        <f t="shared" ref="AM19:AM82" si="40">IMSUM(COMPLEX(1,0),IMDIV(COMPLEX(0,2*PI()*O19),COMPLEX(wz_ea,0)))</f>
        <v>1+0.0166981570199668i</v>
      </c>
      <c r="AN19" s="32">
        <f>IMABS(AM19)</f>
        <v>1.0001394045071235</v>
      </c>
      <c r="AO19" s="32">
        <f>IMARGUMENT(AM19)</f>
        <v>1.6696605305821073E-2</v>
      </c>
      <c r="AP19" s="61" t="str">
        <f>IMPRODUCT(AF19,IMDIV(AM19,IMPRODUCT(AG19,AJ19)))</f>
        <v>-0.142042929011455+8.91905489910097i</v>
      </c>
      <c r="AQ19" s="52">
        <f>20*LOG(IMABS(AP19))</f>
        <v>19.007478106385339</v>
      </c>
      <c r="AR19" s="64">
        <f>(180/PI())*IMARGUMENT(AP19)</f>
        <v>90.912402993895967</v>
      </c>
      <c r="AS19" s="61" t="str">
        <f>IMPRODUCT(AC19,AP19)</f>
        <v>55.1925832523131+1090.67385911599i</v>
      </c>
      <c r="AT19" s="67">
        <f>20*LOG(IMABS(AS19))</f>
        <v>60.765005179529226</v>
      </c>
      <c r="AU19" s="64">
        <f>(180/PI())*IMARGUMENT(AS19)</f>
        <v>87.103069008043619</v>
      </c>
      <c r="AV19" s="32"/>
    </row>
    <row r="20" spans="1:48" x14ac:dyDescent="0.25">
      <c r="A20" t="s">
        <v>35</v>
      </c>
      <c r="B20" s="46">
        <f>IOUT</f>
        <v>10</v>
      </c>
      <c r="C20" t="s">
        <v>13</v>
      </c>
      <c r="E20" t="s">
        <v>36</v>
      </c>
      <c r="N20" s="11">
        <v>2</v>
      </c>
      <c r="O20" s="53">
        <f t="shared" ref="O20:O83" si="41">10^(1+(N20/100))</f>
        <v>10.471285480509</v>
      </c>
      <c r="P20" s="51" t="str">
        <f t="shared" si="32"/>
        <v>122.692307692308</v>
      </c>
      <c r="Q20" s="18" t="str">
        <f t="shared" si="33"/>
        <v>1+0.0674378527553775i</v>
      </c>
      <c r="R20" s="18">
        <f t="shared" ref="R20:R83" si="42">IMABS(Q20)</f>
        <v>1.002271352471104</v>
      </c>
      <c r="S20" s="18">
        <f t="shared" ref="S20:S83" si="43">IMARGUMENT(Q20)</f>
        <v>6.7335898089445012E-2</v>
      </c>
      <c r="T20" s="18" t="str">
        <f t="shared" si="34"/>
        <v>1+0.0000134875705510755i</v>
      </c>
      <c r="U20" s="18">
        <f t="shared" ref="U20:U83" si="44">IMABS(T20)</f>
        <v>1.0000000000909572</v>
      </c>
      <c r="V20" s="18">
        <f t="shared" ref="V20:V83" si="45">IMARGUMENT(T20)</f>
        <v>1.3487570550257638E-5</v>
      </c>
      <c r="W20" s="32" t="str">
        <f t="shared" si="35"/>
        <v>1-0.000638899229893722i</v>
      </c>
      <c r="X20" s="18">
        <f t="shared" ref="X20:X83" si="46">IMABS(W20)</f>
        <v>1.0000002040960922</v>
      </c>
      <c r="Y20" s="18">
        <f t="shared" ref="Y20:Y83" si="47">IMARGUMENT(W20)</f>
        <v>-6.3889914296251028E-4</v>
      </c>
      <c r="Z20" s="32" t="str">
        <f t="shared" si="36"/>
        <v>0.999999996419663+0.0000681782773601138i</v>
      </c>
      <c r="AA20" s="18">
        <f t="shared" ref="AA20:AA83" si="48">IMABS(Z20)</f>
        <v>0.99999999874380163</v>
      </c>
      <c r="AB20" s="18">
        <f t="shared" ref="AB20:AB83" si="49">IMARGUMENT(Z20)</f>
        <v>6.8178277498577824E-5</v>
      </c>
      <c r="AC20" s="69" t="str">
        <f t="shared" ref="AC20:AC83" si="50">(IMDIV(IMPRODUCT(P20,T20,W20),IMPRODUCT(Q20,Z20)))</f>
        <v>122.131128788527-8.32135923002614i</v>
      </c>
      <c r="AD20" s="67">
        <f t="shared" ref="AD20:AD83" si="51">20*LOG(IMABS(AC20))</f>
        <v>41.756642140856826</v>
      </c>
      <c r="AE20" s="64">
        <f t="shared" ref="AE20:AE83" si="52">(180/PI())*IMARGUMENT(AC20)</f>
        <v>-3.897802541361242</v>
      </c>
      <c r="AF20" s="32" t="str">
        <f t="shared" si="37"/>
        <v>-0.0000198412698412698</v>
      </c>
      <c r="AG20" s="32" t="str">
        <f t="shared" si="38"/>
        <v>2.27643873691323E-06i</v>
      </c>
      <c r="AH20" s="32">
        <f t="shared" ref="AH20:AH83" si="53">IMABS(AG20)</f>
        <v>2.2764387369132301E-6</v>
      </c>
      <c r="AI20" s="32">
        <f t="shared" ref="AI20:AI83" si="54">IMARGUMENT(AG20)</f>
        <v>1.5707963267948966</v>
      </c>
      <c r="AJ20" s="32" t="str">
        <f t="shared" si="39"/>
        <v>1+0.000790155239886044i</v>
      </c>
      <c r="AK20" s="32">
        <f t="shared" ref="AK20:AK83" si="55">IMABS(AJ20)</f>
        <v>1.0000003121726029</v>
      </c>
      <c r="AL20" s="32">
        <f t="shared" ref="AL20:AL83" si="56">IMARGUMENT(AJ20)</f>
        <v>7.9015507544286806E-4</v>
      </c>
      <c r="AM20" s="32" t="str">
        <f t="shared" si="40"/>
        <v>1+0.0170871070625357i</v>
      </c>
      <c r="AN20" s="32">
        <f t="shared" ref="AN20:AN83" si="57">IMABS(AM20)</f>
        <v>1.0001459739596847</v>
      </c>
      <c r="AO20" s="32">
        <f t="shared" ref="AO20:AO83" si="58">IMARGUMENT(AM20)</f>
        <v>1.7085444383978628E-2</v>
      </c>
      <c r="AP20" s="61" t="str">
        <f t="shared" ref="AP20:AP83" si="59">IMPRODUCT(AF20,IMDIV(AM20,IMPRODUCT(AG20,AJ20)))</f>
        <v>-0.142042925020028+8.7160374745971i</v>
      </c>
      <c r="AQ20" s="52">
        <f t="shared" ref="AQ20:AQ83" si="60">20*LOG(IMABS(AP20))</f>
        <v>18.807535037746948</v>
      </c>
      <c r="AR20" s="64">
        <f t="shared" ref="AR20:AR83" si="61">(180/PI())*IMARGUMENT(AP20)</f>
        <v>90.933651303323757</v>
      </c>
      <c r="AS20" s="61" t="str">
        <f t="shared" ref="AS20:AS83" si="62">IMPRODUCT(AC20,AP20)</f>
        <v>55.1814161193722+1065.68148554082i</v>
      </c>
      <c r="AT20" s="67">
        <f t="shared" ref="AT20:AT83" si="63">20*LOG(IMABS(AS20))</f>
        <v>60.564177178603764</v>
      </c>
      <c r="AU20" s="64">
        <f t="shared" ref="AU20:AU83" si="64">(180/PI())*IMARGUMENT(AS20)</f>
        <v>87.035848761962512</v>
      </c>
      <c r="AV20" s="32"/>
    </row>
    <row r="21" spans="1:48" s="32" customFormat="1" x14ac:dyDescent="0.25">
      <c r="A21"/>
      <c r="B21"/>
      <c r="C21"/>
      <c r="D21"/>
      <c r="E21"/>
      <c r="F21"/>
      <c r="G21"/>
      <c r="N21" s="11">
        <v>3</v>
      </c>
      <c r="O21" s="53">
        <f t="shared" si="41"/>
        <v>10.715193052376069</v>
      </c>
      <c r="P21" s="51" t="str">
        <f t="shared" si="32"/>
        <v>122.692307692308</v>
      </c>
      <c r="Q21" s="18" t="str">
        <f t="shared" si="33"/>
        <v>1+0.0690086821390392i</v>
      </c>
      <c r="R21" s="18">
        <f t="shared" si="42"/>
        <v>1.0023782710187641</v>
      </c>
      <c r="S21" s="18">
        <f t="shared" si="43"/>
        <v>6.8899449740518467E-2</v>
      </c>
      <c r="T21" s="18" t="str">
        <f t="shared" si="34"/>
        <v>1+0.0000138017364278078i</v>
      </c>
      <c r="U21" s="18">
        <f t="shared" si="44"/>
        <v>1.0000000000952438</v>
      </c>
      <c r="V21" s="18">
        <f t="shared" si="45"/>
        <v>1.3801736426931445E-5</v>
      </c>
      <c r="W21" s="32" t="str">
        <f t="shared" si="35"/>
        <v>1-0.000653781104723816i</v>
      </c>
      <c r="X21" s="18">
        <f t="shared" si="46"/>
        <v>1.0000002137148436</v>
      </c>
      <c r="Y21" s="18">
        <f t="shared" si="47"/>
        <v>-6.5378101157534559E-4</v>
      </c>
      <c r="Z21" s="32" t="str">
        <f t="shared" si="36"/>
        <v>0.999999996250927+0.0000697663534483781i</v>
      </c>
      <c r="AA21" s="18">
        <f t="shared" si="48"/>
        <v>0.99999999868459888</v>
      </c>
      <c r="AB21" s="18">
        <f t="shared" si="49"/>
        <v>6.9766353596744979E-5</v>
      </c>
      <c r="AC21" s="69" t="str">
        <f t="shared" si="50"/>
        <v>122.104806593107-8.51337212632009i</v>
      </c>
      <c r="AD21" s="67">
        <f t="shared" si="51"/>
        <v>41.755715696254384</v>
      </c>
      <c r="AE21" s="64">
        <f t="shared" si="52"/>
        <v>-3.988313109960401</v>
      </c>
      <c r="AF21" s="32" t="str">
        <f t="shared" si="37"/>
        <v>-0.0000198412698412698</v>
      </c>
      <c r="AG21" s="32" t="str">
        <f t="shared" si="38"/>
        <v>2.32946380683976E-06i</v>
      </c>
      <c r="AH21" s="32">
        <f t="shared" si="53"/>
        <v>2.32946380683976E-6</v>
      </c>
      <c r="AI21" s="32">
        <f t="shared" si="54"/>
        <v>1.5707963267948966</v>
      </c>
      <c r="AJ21" s="32" t="str">
        <f t="shared" si="39"/>
        <v>1+0.000808560319789307i</v>
      </c>
      <c r="AK21" s="32">
        <f t="shared" si="55"/>
        <v>1.0000003268848419</v>
      </c>
      <c r="AL21" s="32">
        <f t="shared" si="56"/>
        <v>8.0856014358527241E-4</v>
      </c>
      <c r="AM21" s="32" t="str">
        <f t="shared" si="40"/>
        <v>1+0.0174851169154438i</v>
      </c>
      <c r="AN21" s="32">
        <f t="shared" si="57"/>
        <v>1.0001528529747574</v>
      </c>
      <c r="AO21" s="32">
        <f t="shared" si="58"/>
        <v>1.7483335337976708E-2</v>
      </c>
      <c r="AP21" s="61" t="str">
        <f t="shared" si="59"/>
        <v>-0.14204292084049+8.51764140853238i</v>
      </c>
      <c r="AQ21" s="52">
        <f t="shared" si="60"/>
        <v>18.60759465139768</v>
      </c>
      <c r="AR21" s="64">
        <f t="shared" si="61"/>
        <v>90.955394242968069</v>
      </c>
      <c r="AS21" s="61" t="str">
        <f t="shared" si="62"/>
        <v>55.1697275722413+1041.25422106131i</v>
      </c>
      <c r="AT21" s="67">
        <f t="shared" si="63"/>
        <v>60.36331034765206</v>
      </c>
      <c r="AU21" s="64">
        <f t="shared" si="64"/>
        <v>86.967081133007667</v>
      </c>
    </row>
    <row r="22" spans="1:48" x14ac:dyDescent="0.25">
      <c r="A22" t="s">
        <v>212</v>
      </c>
      <c r="N22" s="11">
        <v>4</v>
      </c>
      <c r="O22" s="53">
        <f t="shared" si="41"/>
        <v>10.964781961431854</v>
      </c>
      <c r="P22" s="51" t="str">
        <f t="shared" si="32"/>
        <v>122.692307692308</v>
      </c>
      <c r="Q22" s="18" t="str">
        <f t="shared" si="33"/>
        <v>1+0.0706161008394088i</v>
      </c>
      <c r="R22" s="18">
        <f t="shared" si="42"/>
        <v>1.002490216260369</v>
      </c>
      <c r="S22" s="18">
        <f t="shared" si="43"/>
        <v>7.0499071912583255E-2</v>
      </c>
      <c r="T22" s="18" t="str">
        <f t="shared" si="34"/>
        <v>1+0.0000141232201678818i</v>
      </c>
      <c r="U22" s="18">
        <f t="shared" si="44"/>
        <v>1.0000000000997327</v>
      </c>
      <c r="V22" s="18">
        <f t="shared" si="45"/>
        <v>1.4123220166942769E-5</v>
      </c>
      <c r="W22" s="32" t="str">
        <f t="shared" si="35"/>
        <v>1-0.000669009622949451i</v>
      </c>
      <c r="X22" s="18">
        <f t="shared" si="46"/>
        <v>1.0000002237869128</v>
      </c>
      <c r="Y22" s="18">
        <f t="shared" si="47"/>
        <v>-6.690095231390678E-4</v>
      </c>
      <c r="Z22" s="32" t="str">
        <f t="shared" si="36"/>
        <v>0.999999996074239+0.0000713914205807075i</v>
      </c>
      <c r="AA22" s="18">
        <f t="shared" si="48"/>
        <v>0.99999999862260647</v>
      </c>
      <c r="AB22" s="18">
        <f t="shared" si="49"/>
        <v>7.139142073968545E-5</v>
      </c>
      <c r="AC22" s="69" t="str">
        <f t="shared" si="50"/>
        <v>122.077255904516-8.70972851533848i</v>
      </c>
      <c r="AD22" s="67">
        <f t="shared" si="51"/>
        <v>41.75474580147619</v>
      </c>
      <c r="AE22" s="64">
        <f t="shared" si="52"/>
        <v>-4.0809119285033599</v>
      </c>
      <c r="AF22" s="32" t="str">
        <f t="shared" si="37"/>
        <v>-0.0000198412698412698</v>
      </c>
      <c r="AG22" s="32" t="str">
        <f t="shared" si="38"/>
        <v>2.38372398931078E-06i</v>
      </c>
      <c r="AH22" s="32">
        <f t="shared" si="53"/>
        <v>2.38372398931078E-6</v>
      </c>
      <c r="AI22" s="32">
        <f t="shared" si="54"/>
        <v>1.5707963267948966</v>
      </c>
      <c r="AJ22" s="32" t="str">
        <f t="shared" si="39"/>
        <v>1+0.000827394109076684i</v>
      </c>
      <c r="AK22" s="32">
        <f t="shared" si="55"/>
        <v>1.0000003422904473</v>
      </c>
      <c r="AL22" s="32">
        <f t="shared" si="56"/>
        <v>8.2739392027066279E-4</v>
      </c>
      <c r="AM22" s="32" t="str">
        <f t="shared" si="40"/>
        <v>1+0.0178923976087833i</v>
      </c>
      <c r="AN22" s="32">
        <f t="shared" si="57"/>
        <v>1.000160056137112</v>
      </c>
      <c r="AO22" s="32">
        <f t="shared" si="58"/>
        <v>1.7890488630632726E-2</v>
      </c>
      <c r="AP22" s="61" t="str">
        <f t="shared" si="59"/>
        <v>-0.142042916463977+8.32376150868643i</v>
      </c>
      <c r="AQ22" s="52">
        <f t="shared" si="60"/>
        <v>18.407657073672389</v>
      </c>
      <c r="AR22" s="64">
        <f t="shared" si="61"/>
        <v>90.977643312335744</v>
      </c>
      <c r="AS22" s="61" t="str">
        <f t="shared" si="62"/>
        <v>55.1574935044863+1017.379119024i</v>
      </c>
      <c r="AT22" s="67">
        <f t="shared" si="63"/>
        <v>60.162402875148572</v>
      </c>
      <c r="AU22" s="64">
        <f t="shared" si="64"/>
        <v>86.896731383832375</v>
      </c>
      <c r="AV22" s="32"/>
    </row>
    <row r="23" spans="1:48" x14ac:dyDescent="0.25">
      <c r="A23" t="s">
        <v>213</v>
      </c>
      <c r="B23" s="46">
        <f>Lm</f>
        <v>4.6999999999999999E-6</v>
      </c>
      <c r="C23" t="s">
        <v>100</v>
      </c>
      <c r="E23" t="s">
        <v>214</v>
      </c>
      <c r="N23" s="11">
        <v>5</v>
      </c>
      <c r="O23" s="53">
        <f t="shared" si="41"/>
        <v>11.220184543019636</v>
      </c>
      <c r="P23" s="51" t="str">
        <f t="shared" si="32"/>
        <v>122.692307692308</v>
      </c>
      <c r="Q23" s="18" t="str">
        <f t="shared" si="33"/>
        <v>1+0.0722609611311581i</v>
      </c>
      <c r="R23" s="18">
        <f t="shared" si="42"/>
        <v>1.0026074239220448</v>
      </c>
      <c r="S23" s="18">
        <f t="shared" si="43"/>
        <v>7.2135579983304277E-2</v>
      </c>
      <c r="T23" s="18" t="str">
        <f t="shared" si="34"/>
        <v>1+0.0000144521922262316i</v>
      </c>
      <c r="U23" s="18">
        <f t="shared" si="44"/>
        <v>1.0000000001044329</v>
      </c>
      <c r="V23" s="18">
        <f t="shared" si="45"/>
        <v>1.445219222522541E-5</v>
      </c>
      <c r="W23" s="32" t="str">
        <f t="shared" si="35"/>
        <v>1-0.000684592858932562i</v>
      </c>
      <c r="X23" s="18">
        <f t="shared" si="46"/>
        <v>1.0000002343336638</v>
      </c>
      <c r="Y23" s="18">
        <f t="shared" si="47"/>
        <v>-6.8459275198381098E-4</v>
      </c>
      <c r="Z23" s="32" t="str">
        <f t="shared" si="36"/>
        <v>0.999999995889223+0.000073054340389206i</v>
      </c>
      <c r="AA23" s="18">
        <f t="shared" si="48"/>
        <v>0.99999999855769128</v>
      </c>
      <c r="AB23" s="18">
        <f t="shared" si="49"/>
        <v>7.3054340559553969E-5</v>
      </c>
      <c r="AC23" s="69" t="str">
        <f t="shared" si="50"/>
        <v>122.048419977796-8.91052044263447i</v>
      </c>
      <c r="AD23" s="67">
        <f t="shared" si="51"/>
        <v>41.753730429109986</v>
      </c>
      <c r="AE23" s="64">
        <f t="shared" si="52"/>
        <v>-4.1756462169156023</v>
      </c>
      <c r="AF23" s="32" t="str">
        <f t="shared" si="37"/>
        <v>-0.0000198412698412698</v>
      </c>
      <c r="AG23" s="32" t="str">
        <f t="shared" si="38"/>
        <v>2.43924805379324E-06i</v>
      </c>
      <c r="AH23" s="32">
        <f t="shared" si="53"/>
        <v>2.43924805379324E-6</v>
      </c>
      <c r="AI23" s="32">
        <f t="shared" si="54"/>
        <v>1.5707963267948966</v>
      </c>
      <c r="AJ23" s="32" t="str">
        <f t="shared" si="39"/>
        <v>1+0.000846666593672548i</v>
      </c>
      <c r="AK23" s="32">
        <f t="shared" si="55"/>
        <v>1.0000003584220962</v>
      </c>
      <c r="AL23" s="32">
        <f t="shared" si="56"/>
        <v>8.4666639136325521E-4</v>
      </c>
      <c r="AM23" s="32" t="str">
        <f t="shared" si="40"/>
        <v>1+0.0183091650881689i</v>
      </c>
      <c r="AN23" s="32">
        <f t="shared" si="57"/>
        <v>1.0001675987184477</v>
      </c>
      <c r="AO23" s="32">
        <f t="shared" si="58"/>
        <v>1.830711959973929E-2</v>
      </c>
      <c r="AP23" s="61" t="str">
        <f t="shared" si="59"/>
        <v>-0.142042911881206+8.13429497737008i</v>
      </c>
      <c r="AQ23" s="52">
        <f t="shared" si="60"/>
        <v>18.20772243685256</v>
      </c>
      <c r="AR23" s="64">
        <f t="shared" si="61"/>
        <v>91.000410277225598</v>
      </c>
      <c r="AS23" s="61" t="str">
        <f t="shared" si="62"/>
        <v>55.1446887181285+994.043525891389i</v>
      </c>
      <c r="AT23" s="67">
        <f t="shared" si="63"/>
        <v>59.961452865962542</v>
      </c>
      <c r="AU23" s="64">
        <f t="shared" si="64"/>
        <v>86.824764060310002</v>
      </c>
      <c r="AV23" s="32"/>
    </row>
    <row r="24" spans="1:48" x14ac:dyDescent="0.25">
      <c r="A24" s="32"/>
      <c r="B24" s="32"/>
      <c r="C24" s="32"/>
      <c r="D24" s="32"/>
      <c r="E24" s="32"/>
      <c r="F24" s="32"/>
      <c r="G24" s="32"/>
      <c r="N24" s="11">
        <v>6</v>
      </c>
      <c r="O24" s="53">
        <f t="shared" si="41"/>
        <v>11.481536214968834</v>
      </c>
      <c r="P24" s="51" t="str">
        <f t="shared" si="32"/>
        <v>122.692307692308</v>
      </c>
      <c r="Q24" s="18" t="str">
        <f t="shared" si="33"/>
        <v>1+0.0739441351409861i</v>
      </c>
      <c r="R24" s="18">
        <f t="shared" si="42"/>
        <v>1.0027301407266804</v>
      </c>
      <c r="S24" s="18">
        <f t="shared" si="43"/>
        <v>7.3809806568622613E-2</v>
      </c>
      <c r="T24" s="18" t="str">
        <f t="shared" si="34"/>
        <v>1+0.0000147888270281972i</v>
      </c>
      <c r="U24" s="18">
        <f t="shared" si="44"/>
        <v>1.0000000001093547</v>
      </c>
      <c r="V24" s="18">
        <f t="shared" si="45"/>
        <v>1.4788827027119048E-5</v>
      </c>
      <c r="W24" s="32" t="str">
        <f t="shared" si="35"/>
        <v>1-0.000700539075111138i</v>
      </c>
      <c r="X24" s="18">
        <f t="shared" si="46"/>
        <v>1.0000002453774677</v>
      </c>
      <c r="Y24" s="18">
        <f t="shared" si="47"/>
        <v>-7.005389605134882E-4</v>
      </c>
      <c r="Z24" s="32" t="str">
        <f t="shared" si="36"/>
        <v>0.999999995695488+0.0000747559945759674i</v>
      </c>
      <c r="AA24" s="18">
        <f t="shared" si="48"/>
        <v>0.99999999848971732</v>
      </c>
      <c r="AB24" s="18">
        <f t="shared" si="49"/>
        <v>7.475599475849854E-5</v>
      </c>
      <c r="AC24" s="69" t="str">
        <f t="shared" si="50"/>
        <v>122.018239503543-9.11584145745614i</v>
      </c>
      <c r="AD24" s="67">
        <f t="shared" si="51"/>
        <v>41.752667458141133</v>
      </c>
      <c r="AE24" s="64">
        <f t="shared" si="52"/>
        <v>-4.2725641945013315</v>
      </c>
      <c r="AF24" s="32" t="str">
        <f t="shared" si="37"/>
        <v>-0.0000198412698412698</v>
      </c>
      <c r="AG24" s="32" t="str">
        <f t="shared" si="38"/>
        <v>2.49606543988109E-06i</v>
      </c>
      <c r="AH24" s="32">
        <f t="shared" si="53"/>
        <v>2.4960654398810898E-6</v>
      </c>
      <c r="AI24" s="32">
        <f t="shared" si="54"/>
        <v>1.5707963267948966</v>
      </c>
      <c r="AJ24" s="32" t="str">
        <f t="shared" si="39"/>
        <v>1+0.000866387992103335i</v>
      </c>
      <c r="AK24" s="32">
        <f t="shared" si="55"/>
        <v>1.0000003753140061</v>
      </c>
      <c r="AL24" s="32">
        <f t="shared" si="56"/>
        <v>8.6638777532502655E-4</v>
      </c>
      <c r="AM24" s="32" t="str">
        <f t="shared" si="40"/>
        <v>1+0.0187356403292346i</v>
      </c>
      <c r="AN24" s="32">
        <f t="shared" si="57"/>
        <v>1.0001754967097256</v>
      </c>
      <c r="AO24" s="32">
        <f t="shared" si="58"/>
        <v>1.8733448569663986E-2</v>
      </c>
      <c r="AP24" s="61" t="str">
        <f t="shared" si="59"/>
        <v>-0.142042907082456+7.94914135692048i</v>
      </c>
      <c r="AQ24" s="52">
        <f t="shared" si="60"/>
        <v>18.007790879445615</v>
      </c>
      <c r="AR24" s="64">
        <f t="shared" si="61"/>
        <v>91.023707175819283</v>
      </c>
      <c r="AS24" s="61" t="str">
        <f t="shared" si="62"/>
        <v>55.1312868764282+971.235074557362i</v>
      </c>
      <c r="AT24" s="67">
        <f t="shared" si="63"/>
        <v>59.760458337586755</v>
      </c>
      <c r="AU24" s="64">
        <f t="shared" si="64"/>
        <v>86.751142981317955</v>
      </c>
      <c r="AV24" s="32"/>
    </row>
    <row r="25" spans="1:48" x14ac:dyDescent="0.25">
      <c r="A25" t="s">
        <v>163</v>
      </c>
      <c r="B25" s="46">
        <f>R_cs</f>
        <v>1.2999999999999999E-3</v>
      </c>
      <c r="C25" s="2" t="s">
        <v>38</v>
      </c>
      <c r="E25" t="s">
        <v>215</v>
      </c>
      <c r="N25" s="11">
        <v>7</v>
      </c>
      <c r="O25" s="53">
        <f t="shared" si="41"/>
        <v>11.748975549395301</v>
      </c>
      <c r="P25" s="51" t="str">
        <f t="shared" si="32"/>
        <v>122.692307692308</v>
      </c>
      <c r="Q25" s="18" t="str">
        <f t="shared" si="33"/>
        <v>1+0.0756665153100321i</v>
      </c>
      <c r="R25" s="18">
        <f t="shared" si="42"/>
        <v>1.0028586249014182</v>
      </c>
      <c r="S25" s="18">
        <f t="shared" si="43"/>
        <v>7.5522601801271377E-2</v>
      </c>
      <c r="T25" s="18" t="str">
        <f t="shared" si="34"/>
        <v>1+0.0000151333030620064i</v>
      </c>
      <c r="U25" s="18">
        <f t="shared" si="44"/>
        <v>1.0000000001145084</v>
      </c>
      <c r="V25" s="18">
        <f t="shared" si="45"/>
        <v>1.5133303060851139E-5</v>
      </c>
      <c r="W25" s="32" t="str">
        <f t="shared" si="35"/>
        <v>1-0.000716856726380069i</v>
      </c>
      <c r="X25" s="18">
        <f t="shared" si="46"/>
        <v>1.0000002569417501</v>
      </c>
      <c r="Y25" s="18">
        <f t="shared" si="47"/>
        <v>-7.1685660358647657E-4</v>
      </c>
      <c r="Z25" s="32" t="str">
        <f t="shared" si="36"/>
        <v>0.999999995492623+0.0000764972853805655i</v>
      </c>
      <c r="AA25" s="18">
        <f t="shared" si="48"/>
        <v>0.99999999841854026</v>
      </c>
      <c r="AB25" s="18">
        <f t="shared" si="49"/>
        <v>7.6497285576151115E-5</v>
      </c>
      <c r="AC25" s="69" t="str">
        <f t="shared" si="50"/>
        <v>121.986652497444-9.32578660347732i</v>
      </c>
      <c r="AD25" s="67">
        <f t="shared" si="51"/>
        <v>41.751554669726005</v>
      </c>
      <c r="AE25" s="64">
        <f t="shared" si="52"/>
        <v>-4.3717150961737774</v>
      </c>
      <c r="AF25" s="32" t="str">
        <f t="shared" si="37"/>
        <v>-0.0000198412698412698</v>
      </c>
      <c r="AG25" s="32" t="str">
        <f t="shared" si="38"/>
        <v>0.0000025542062729045i</v>
      </c>
      <c r="AH25" s="32">
        <f t="shared" si="53"/>
        <v>2.5542062729044998E-6</v>
      </c>
      <c r="AI25" s="32">
        <f t="shared" si="54"/>
        <v>1.5707963267948966</v>
      </c>
      <c r="AJ25" s="32" t="str">
        <f t="shared" si="39"/>
        <v>1+0.000886568760915537i</v>
      </c>
      <c r="AK25" s="32">
        <f t="shared" si="55"/>
        <v>1.0000003930020067</v>
      </c>
      <c r="AL25" s="32">
        <f t="shared" si="56"/>
        <v>8.8656852863339944E-4</v>
      </c>
      <c r="AM25" s="32" t="str">
        <f t="shared" si="40"/>
        <v>1+0.0191720494547985i</v>
      </c>
      <c r="AN25" s="32">
        <f t="shared" si="57"/>
        <v>1.0001837668550202</v>
      </c>
      <c r="AO25" s="32">
        <f t="shared" si="58"/>
        <v>1.9169700965410333E-2</v>
      </c>
      <c r="AP25" s="61" t="str">
        <f t="shared" si="59"/>
        <v>-0.142042902057548+7.76820247643725i</v>
      </c>
      <c r="AQ25" s="52">
        <f t="shared" si="60"/>
        <v>17.80786254647769</v>
      </c>
      <c r="AR25" s="64">
        <f t="shared" si="61"/>
        <v>91.047546324906051</v>
      </c>
      <c r="AS25" s="61" t="str">
        <f t="shared" si="62"/>
        <v>55.1172604548353+948.941677816062i</v>
      </c>
      <c r="AT25" s="67">
        <f t="shared" si="63"/>
        <v>59.559417216203691</v>
      </c>
      <c r="AU25" s="64">
        <f t="shared" si="64"/>
        <v>86.675831228732278</v>
      </c>
      <c r="AV25" s="32"/>
    </row>
    <row r="26" spans="1:48" s="32" customFormat="1" x14ac:dyDescent="0.25">
      <c r="A26" t="s">
        <v>164</v>
      </c>
      <c r="B26" s="46">
        <f>R_sl</f>
        <v>360</v>
      </c>
      <c r="C26" s="2" t="s">
        <v>38</v>
      </c>
      <c r="D26"/>
      <c r="E26" t="s">
        <v>216</v>
      </c>
      <c r="F26"/>
      <c r="G26"/>
      <c r="K26"/>
      <c r="N26" s="11">
        <v>8</v>
      </c>
      <c r="O26" s="53">
        <f t="shared" si="41"/>
        <v>12.022644346174133</v>
      </c>
      <c r="P26" s="51" t="str">
        <f t="shared" si="32"/>
        <v>122.692307692308</v>
      </c>
      <c r="Q26" s="18" t="str">
        <f t="shared" si="33"/>
        <v>1+0.0774290148670602i</v>
      </c>
      <c r="R26" s="18">
        <f t="shared" si="42"/>
        <v>1.0029931467080337</v>
      </c>
      <c r="S26" s="18">
        <f t="shared" si="43"/>
        <v>7.7274833607276966E-2</v>
      </c>
      <c r="T26" s="18" t="str">
        <f t="shared" si="34"/>
        <v>1+0.0000154858029734121i</v>
      </c>
      <c r="U26" s="18">
        <f t="shared" si="44"/>
        <v>1.000000000119905</v>
      </c>
      <c r="V26" s="18">
        <f t="shared" si="45"/>
        <v>1.5485802972174217E-5</v>
      </c>
      <c r="W26" s="32" t="str">
        <f t="shared" si="35"/>
        <v>1-0.000733554464574045i</v>
      </c>
      <c r="X26" s="18">
        <f t="shared" si="46"/>
        <v>1.0000002690510399</v>
      </c>
      <c r="Y26" s="18">
        <f t="shared" si="47"/>
        <v>-7.3355433299834199E-4</v>
      </c>
      <c r="Z26" s="32" t="str">
        <f t="shared" si="36"/>
        <v>0.999999995280197+0.0000782791360584336i</v>
      </c>
      <c r="AA26" s="18">
        <f t="shared" si="48"/>
        <v>0.99999999834400866</v>
      </c>
      <c r="AB26" s="18">
        <f t="shared" si="49"/>
        <v>7.8279136268007349E-5</v>
      </c>
      <c r="AC26" s="69" t="str">
        <f t="shared" si="50"/>
        <v>121.953594185607-9.54045240632615i</v>
      </c>
      <c r="AD26" s="67">
        <f t="shared" si="51"/>
        <v>41.750389742785231</v>
      </c>
      <c r="AE26" s="64">
        <f t="shared" si="52"/>
        <v>-4.4731491885764134</v>
      </c>
      <c r="AF26" s="32" t="str">
        <f t="shared" si="37"/>
        <v>-0.0000198412698412698</v>
      </c>
      <c r="AG26" s="32" t="str">
        <f t="shared" si="38"/>
        <v>2.61370137990272E-06i</v>
      </c>
      <c r="AH26" s="32">
        <f t="shared" si="53"/>
        <v>2.6137013799027199E-6</v>
      </c>
      <c r="AI26" s="32">
        <f t="shared" si="54"/>
        <v>1.5707963267948966</v>
      </c>
      <c r="AJ26" s="32" t="str">
        <f t="shared" si="39"/>
        <v>1+0.000907219600219899i</v>
      </c>
      <c r="AK26" s="32">
        <f t="shared" si="55"/>
        <v>1.000000411523617</v>
      </c>
      <c r="AL26" s="32">
        <f t="shared" si="56"/>
        <v>9.0721935132510986E-4</v>
      </c>
      <c r="AM26" s="32" t="str">
        <f t="shared" si="40"/>
        <v>1+0.0196186238547553i</v>
      </c>
      <c r="AN26" s="32">
        <f t="shared" si="57"/>
        <v>1.0001924266869622</v>
      </c>
      <c r="AO26" s="32">
        <f t="shared" si="58"/>
        <v>1.9616107429184824E-2</v>
      </c>
      <c r="AP26" s="61" t="str">
        <f t="shared" si="59"/>
        <v>-0.142042896795823+7.59138239973092i</v>
      </c>
      <c r="AQ26" s="52">
        <f t="shared" si="60"/>
        <v>17.60793758979996</v>
      </c>
      <c r="AR26" s="64">
        <f t="shared" si="61"/>
        <v>91.071940326243976</v>
      </c>
      <c r="AS26" s="61" t="str">
        <f t="shared" si="62"/>
        <v>55.102580690069+927.151521981081i</v>
      </c>
      <c r="AT26" s="67">
        <f t="shared" si="63"/>
        <v>59.358327332585183</v>
      </c>
      <c r="AU26" s="64">
        <f t="shared" si="64"/>
        <v>86.598791137667575</v>
      </c>
      <c r="AV26"/>
    </row>
    <row r="27" spans="1:48" s="32" customFormat="1" x14ac:dyDescent="0.25">
      <c r="A27" t="s">
        <v>149</v>
      </c>
      <c r="B27" s="22">
        <f>Rsl_int</f>
        <v>1333</v>
      </c>
      <c r="C27" s="2" t="s">
        <v>38</v>
      </c>
      <c r="D27"/>
      <c r="E27" t="s">
        <v>217</v>
      </c>
      <c r="F27"/>
      <c r="G27"/>
      <c r="K27"/>
      <c r="N27" s="11">
        <v>9</v>
      </c>
      <c r="O27" s="53">
        <f t="shared" si="41"/>
        <v>12.302687708123818</v>
      </c>
      <c r="P27" s="51" t="str">
        <f t="shared" si="32"/>
        <v>122.692307692308</v>
      </c>
      <c r="Q27" s="18" t="str">
        <f t="shared" si="33"/>
        <v>1+0.0792325683126651i</v>
      </c>
      <c r="R27" s="18">
        <f t="shared" si="42"/>
        <v>1.0031339889971933</v>
      </c>
      <c r="S27" s="18">
        <f t="shared" si="43"/>
        <v>7.9067387979824696E-2</v>
      </c>
      <c r="T27" s="18" t="str">
        <f t="shared" si="34"/>
        <v>1+0.000015846513662533i</v>
      </c>
      <c r="U27" s="18">
        <f t="shared" si="44"/>
        <v>1.000000000125556</v>
      </c>
      <c r="V27" s="18">
        <f t="shared" si="45"/>
        <v>1.5846513661206584E-5</v>
      </c>
      <c r="W27" s="32" t="str">
        <f t="shared" si="35"/>
        <v>1-0.000750641143054882i</v>
      </c>
      <c r="X27" s="18">
        <f t="shared" si="46"/>
        <v>1.0000002817310232</v>
      </c>
      <c r="Y27" s="18">
        <f t="shared" si="47"/>
        <v>-7.5064100206897826E-4</v>
      </c>
      <c r="Z27" s="32" t="str">
        <f t="shared" si="36"/>
        <v>0.999999995057759+0.0000801024913703868i</v>
      </c>
      <c r="AA27" s="18">
        <f t="shared" si="48"/>
        <v>0.99999999826596364</v>
      </c>
      <c r="AB27" s="18">
        <f t="shared" si="49"/>
        <v>8.0102491594949155E-5</v>
      </c>
      <c r="AC27" s="69" t="str">
        <f t="shared" si="50"/>
        <v>121.918996885538-9.75993685764124i</v>
      </c>
      <c r="AD27" s="67">
        <f t="shared" si="51"/>
        <v>41.749170249407513</v>
      </c>
      <c r="AE27" s="64">
        <f t="shared" si="52"/>
        <v>-4.5769177860594663</v>
      </c>
      <c r="AF27" s="32" t="str">
        <f t="shared" si="37"/>
        <v>-0.0000198412698412698</v>
      </c>
      <c r="AG27" s="32" t="str">
        <f t="shared" si="38"/>
        <v>2.67458230596899E-06i</v>
      </c>
      <c r="AH27" s="32">
        <f t="shared" si="53"/>
        <v>2.6745823059689899E-6</v>
      </c>
      <c r="AI27" s="32">
        <f t="shared" si="54"/>
        <v>1.5707963267948966</v>
      </c>
      <c r="AJ27" s="32" t="str">
        <f t="shared" si="39"/>
        <v>1+0.000928351459364771i</v>
      </c>
      <c r="AK27" s="32">
        <f t="shared" si="55"/>
        <v>1.0000004309181232</v>
      </c>
      <c r="AL27" s="32">
        <f t="shared" si="56"/>
        <v>9.2835119266920579E-4</v>
      </c>
      <c r="AM27" s="32" t="str">
        <f t="shared" si="40"/>
        <v>1+0.0200756003087632i</v>
      </c>
      <c r="AN27" s="32">
        <f t="shared" si="57"/>
        <v>1.0002014945638491</v>
      </c>
      <c r="AO27" s="32">
        <f t="shared" si="58"/>
        <v>2.0072903939521016E-2</v>
      </c>
      <c r="AP27" s="61" t="str">
        <f t="shared" si="59"/>
        <v>-0.142042891286122+7.41858737445629i</v>
      </c>
      <c r="AQ27" s="52">
        <f t="shared" si="60"/>
        <v>17.408016168409286</v>
      </c>
      <c r="AR27" s="64">
        <f t="shared" si="61"/>
        <v>91.096902073060193</v>
      </c>
      <c r="AS27" s="61" t="str">
        <f t="shared" si="62"/>
        <v>55.0872175272624+905.853060651457i</v>
      </c>
      <c r="AT27" s="67">
        <f t="shared" si="63"/>
        <v>59.157186417816796</v>
      </c>
      <c r="AU27" s="64">
        <f t="shared" si="64"/>
        <v>86.519984287000739</v>
      </c>
      <c r="AV27"/>
    </row>
    <row r="28" spans="1:48" x14ac:dyDescent="0.25">
      <c r="A28" t="s">
        <v>147</v>
      </c>
      <c r="B28" s="22">
        <f>Isl</f>
        <v>2.9999999999999997E-5</v>
      </c>
      <c r="C28" s="2" t="s">
        <v>13</v>
      </c>
      <c r="E28" t="s">
        <v>218</v>
      </c>
      <c r="K28" s="32"/>
      <c r="N28" s="11">
        <v>10</v>
      </c>
      <c r="O28" s="53">
        <f t="shared" si="41"/>
        <v>12.58925411794168</v>
      </c>
      <c r="P28" s="51" t="str">
        <f t="shared" si="32"/>
        <v>122.692307692308</v>
      </c>
      <c r="Q28" s="18" t="str">
        <f t="shared" si="33"/>
        <v>1+0.0810781319147563i</v>
      </c>
      <c r="R28" s="18">
        <f t="shared" si="42"/>
        <v>1.003281447787602</v>
      </c>
      <c r="S28" s="18">
        <f t="shared" si="43"/>
        <v>8.0901169249818591E-2</v>
      </c>
      <c r="T28" s="18" t="str">
        <f t="shared" si="34"/>
        <v>1+0.0000162156263829513i</v>
      </c>
      <c r="U28" s="18">
        <f t="shared" si="44"/>
        <v>1.0000000001314733</v>
      </c>
      <c r="V28" s="18">
        <f t="shared" si="45"/>
        <v>1.6215626381530018E-5</v>
      </c>
      <c r="W28" s="32" t="str">
        <f t="shared" si="35"/>
        <v>1-0.000768125821405676i</v>
      </c>
      <c r="X28" s="18">
        <f t="shared" si="46"/>
        <v>1.0000002950085953</v>
      </c>
      <c r="Y28" s="18">
        <f t="shared" si="47"/>
        <v>-7.6812567033656093E-4</v>
      </c>
      <c r="Z28" s="32" t="str">
        <f t="shared" si="36"/>
        <v>0.999999994824839+0.0000819683180835465i</v>
      </c>
      <c r="AA28" s="18">
        <f t="shared" si="48"/>
        <v>0.99999999818424157</v>
      </c>
      <c r="AB28" s="18">
        <f t="shared" si="49"/>
        <v>8.1968318324169336E-5</v>
      </c>
      <c r="AC28" s="69" t="str">
        <f t="shared" si="50"/>
        <v>121.882789882674-9.98433939537336i</v>
      </c>
      <c r="AD28" s="67">
        <f t="shared" si="51"/>
        <v>41.747893650057797</v>
      </c>
      <c r="AE28" s="64">
        <f t="shared" si="52"/>
        <v>-4.683073266474028</v>
      </c>
      <c r="AF28" s="32" t="str">
        <f t="shared" si="37"/>
        <v>-0.0000198412698412698</v>
      </c>
      <c r="AG28" s="32" t="str">
        <f t="shared" si="38"/>
        <v>2.73688133097616E-06i</v>
      </c>
      <c r="AH28" s="32">
        <f t="shared" si="53"/>
        <v>2.73688133097616E-6</v>
      </c>
      <c r="AI28" s="32">
        <f t="shared" si="54"/>
        <v>1.5707963267948966</v>
      </c>
      <c r="AJ28" s="32" t="str">
        <f t="shared" si="39"/>
        <v>1+0.000949975542741582i</v>
      </c>
      <c r="AK28" s="32">
        <f t="shared" si="55"/>
        <v>1.0000004512266643</v>
      </c>
      <c r="AL28" s="32">
        <f t="shared" si="56"/>
        <v>9.4997525697214217E-4</v>
      </c>
      <c r="AM28" s="32" t="str">
        <f t="shared" si="40"/>
        <v>1+0.0205432211117867i</v>
      </c>
      <c r="AN28" s="32">
        <f t="shared" si="57"/>
        <v>1.0002109897084952</v>
      </c>
      <c r="AO28" s="32">
        <f t="shared" si="58"/>
        <v>2.0540331933005179E-2</v>
      </c>
      <c r="AP28" s="61" t="str">
        <f t="shared" si="59"/>
        <v>-0.142042885516757+7.24972578240377i</v>
      </c>
      <c r="AQ28" s="52">
        <f t="shared" si="60"/>
        <v>17.208098448784089</v>
      </c>
      <c r="AR28" s="64">
        <f t="shared" si="61"/>
        <v>91.122444756692616</v>
      </c>
      <c r="AS28" s="61" t="str">
        <f t="shared" si="62"/>
        <v>55.0711395651403+885.035008621421i</v>
      </c>
      <c r="AT28" s="67">
        <f t="shared" si="63"/>
        <v>58.95599209884189</v>
      </c>
      <c r="AU28" s="64">
        <f t="shared" si="64"/>
        <v>86.439371490218605</v>
      </c>
    </row>
    <row r="29" spans="1:48" x14ac:dyDescent="0.25">
      <c r="A29" s="32"/>
      <c r="B29" s="27"/>
      <c r="C29" s="2"/>
      <c r="D29" s="32"/>
      <c r="E29" s="32"/>
      <c r="F29" s="32"/>
      <c r="G29" s="32"/>
      <c r="N29" s="11">
        <v>11</v>
      </c>
      <c r="O29" s="53">
        <f t="shared" si="41"/>
        <v>12.882495516931346</v>
      </c>
      <c r="P29" s="51" t="str">
        <f t="shared" si="32"/>
        <v>122.692307692308</v>
      </c>
      <c r="Q29" s="18" t="str">
        <f t="shared" si="33"/>
        <v>1+0.0829666842155846i</v>
      </c>
      <c r="R29" s="18">
        <f t="shared" si="42"/>
        <v>1.0034358328711053</v>
      </c>
      <c r="S29" s="18">
        <f t="shared" si="43"/>
        <v>8.2777100352410954E-2</v>
      </c>
      <c r="T29" s="18" t="str">
        <f t="shared" si="34"/>
        <v>1+0.0000165933368431169i</v>
      </c>
      <c r="U29" s="18">
        <f t="shared" si="44"/>
        <v>1.0000000001376694</v>
      </c>
      <c r="V29" s="18">
        <f t="shared" si="45"/>
        <v>1.659333684159397E-5</v>
      </c>
      <c r="W29" s="32" t="str">
        <f t="shared" si="35"/>
        <v>1-0.000786017770234326i</v>
      </c>
      <c r="X29" s="18">
        <f t="shared" si="46"/>
        <v>1.0000003089119198</v>
      </c>
      <c r="Y29" s="18">
        <f t="shared" si="47"/>
        <v>-7.8601760836085547E-4</v>
      </c>
      <c r="Z29" s="32" t="str">
        <f t="shared" si="36"/>
        <v>0.999999994580941+0.0000838776054839328i</v>
      </c>
      <c r="AA29" s="18">
        <f t="shared" si="48"/>
        <v>0.99999999809866735</v>
      </c>
      <c r="AB29" s="18">
        <f t="shared" si="49"/>
        <v>8.387760574176485E-5</v>
      </c>
      <c r="AC29" s="69" t="str">
        <f t="shared" si="50"/>
        <v>121.844899302384-10.2137608800295i</v>
      </c>
      <c r="AD29" s="67">
        <f t="shared" si="51"/>
        <v>41.746557288583759</v>
      </c>
      <c r="AE29" s="64">
        <f t="shared" si="52"/>
        <v>-4.7916690867416714</v>
      </c>
      <c r="AF29" s="32" t="str">
        <f t="shared" si="37"/>
        <v>-0.0000198412698412698</v>
      </c>
      <c r="AG29" s="32" t="str">
        <f t="shared" si="38"/>
        <v>2.80063148669193E-06i</v>
      </c>
      <c r="AH29" s="32">
        <f t="shared" si="53"/>
        <v>2.8006314866919302E-6</v>
      </c>
      <c r="AI29" s="32">
        <f t="shared" si="54"/>
        <v>1.5707963267948966</v>
      </c>
      <c r="AJ29" s="32" t="str">
        <f t="shared" si="39"/>
        <v>1+0.000972103315725565i</v>
      </c>
      <c r="AK29" s="32">
        <f t="shared" si="55"/>
        <v>1.0000004724923166</v>
      </c>
      <c r="AL29" s="32">
        <f t="shared" si="56"/>
        <v>9.7210300951810125E-4</v>
      </c>
      <c r="AM29" s="32" t="str">
        <f t="shared" si="40"/>
        <v>1+0.0210217342025654i</v>
      </c>
      <c r="AN29" s="32">
        <f t="shared" si="57"/>
        <v>1.0002209322489124</v>
      </c>
      <c r="AO29" s="32">
        <f t="shared" si="58"/>
        <v>2.1018638428655527E-2</v>
      </c>
      <c r="AP29" s="61" t="str">
        <f t="shared" si="59"/>
        <v>-0.142042879475491+7.08470809092199i</v>
      </c>
      <c r="AQ29" s="52">
        <f t="shared" si="60"/>
        <v>17.008184605235506</v>
      </c>
      <c r="AR29" s="64">
        <f t="shared" si="61"/>
        <v>91.148581873376102</v>
      </c>
      <c r="AS29" s="61" t="str">
        <f t="shared" si="62"/>
        <v>55.0543139991756+864.686335930848i</v>
      </c>
      <c r="AT29" s="67">
        <f t="shared" si="63"/>
        <v>58.754741893819258</v>
      </c>
      <c r="AU29" s="64">
        <f t="shared" si="64"/>
        <v>86.356912786634425</v>
      </c>
    </row>
    <row r="30" spans="1:48" x14ac:dyDescent="0.25">
      <c r="A30" s="32" t="s">
        <v>242</v>
      </c>
      <c r="B30" s="22">
        <f>Gcomp</f>
        <v>0.14499999999999999</v>
      </c>
      <c r="C30" s="2"/>
      <c r="D30" s="32"/>
      <c r="E30" s="32" t="s">
        <v>243</v>
      </c>
      <c r="F30" s="32"/>
      <c r="G30" s="32"/>
      <c r="N30" s="11">
        <v>12</v>
      </c>
      <c r="O30" s="53">
        <f t="shared" si="41"/>
        <v>13.182567385564075</v>
      </c>
      <c r="P30" s="51" t="str">
        <f t="shared" si="32"/>
        <v>122.692307692308</v>
      </c>
      <c r="Q30" s="18" t="str">
        <f t="shared" si="33"/>
        <v>1+0.084899226550578i</v>
      </c>
      <c r="R30" s="18">
        <f t="shared" si="42"/>
        <v>1.0035974684448374</v>
      </c>
      <c r="S30" s="18">
        <f t="shared" si="43"/>
        <v>8.4696123088716505E-2</v>
      </c>
      <c r="T30" s="18" t="str">
        <f t="shared" si="34"/>
        <v>1+0.0000169798453101156i</v>
      </c>
      <c r="U30" s="18">
        <f t="shared" si="44"/>
        <v>1.0000000001441576</v>
      </c>
      <c r="V30" s="18">
        <f t="shared" si="45"/>
        <v>1.6979845308483751E-5</v>
      </c>
      <c r="W30" s="32" t="str">
        <f t="shared" si="35"/>
        <v>1-0.00080432647608893i</v>
      </c>
      <c r="X30" s="18">
        <f t="shared" si="46"/>
        <v>1.0000003234704877</v>
      </c>
      <c r="Y30" s="18">
        <f t="shared" si="47"/>
        <v>-8.0432630263838425E-4</v>
      </c>
      <c r="Z30" s="32" t="str">
        <f t="shared" si="36"/>
        <v>0.999999994325548+0.0000858313659009982i</v>
      </c>
      <c r="AA30" s="18">
        <f t="shared" si="48"/>
        <v>0.9999999980090597</v>
      </c>
      <c r="AB30" s="18">
        <f t="shared" si="49"/>
        <v>8.5831366177270281E-5</v>
      </c>
      <c r="AC30" s="69" t="str">
        <f t="shared" si="50"/>
        <v>121.8052479773-10.4483035665352i</v>
      </c>
      <c r="AD30" s="67">
        <f t="shared" si="51"/>
        <v>41.74515838701015</v>
      </c>
      <c r="AE30" s="64">
        <f t="shared" si="52"/>
        <v>-4.9027597981553779</v>
      </c>
      <c r="AF30" s="32" t="str">
        <f t="shared" si="37"/>
        <v>-0.0000198412698412698</v>
      </c>
      <c r="AG30" s="32" t="str">
        <f t="shared" si="38"/>
        <v>2.86586657429268E-06i</v>
      </c>
      <c r="AH30" s="32">
        <f t="shared" si="53"/>
        <v>2.86586657429268E-6</v>
      </c>
      <c r="AI30" s="32">
        <f t="shared" si="54"/>
        <v>1.5707963267948966</v>
      </c>
      <c r="AJ30" s="32" t="str">
        <f t="shared" si="39"/>
        <v>1+0.000994746510754857i</v>
      </c>
      <c r="AK30" s="32">
        <f t="shared" si="55"/>
        <v>1.0000004947601879</v>
      </c>
      <c r="AL30" s="32">
        <f t="shared" si="56"/>
        <v>9.9474618264765689E-4</v>
      </c>
      <c r="AM30" s="32" t="str">
        <f t="shared" si="40"/>
        <v>1+0.0215113932950738i</v>
      </c>
      <c r="AN30" s="32">
        <f t="shared" si="57"/>
        <v>1.0002313432608956</v>
      </c>
      <c r="AO30" s="32">
        <f t="shared" si="58"/>
        <v>2.1508076155000565E-2</v>
      </c>
      <c r="AP30" s="61" t="str">
        <f t="shared" si="59"/>
        <v>-0.142042873149509+6.92344680544669i</v>
      </c>
      <c r="AQ30" s="52">
        <f t="shared" si="60"/>
        <v>16.808274820275692</v>
      </c>
      <c r="AR30" s="64">
        <f t="shared" si="61"/>
        <v>91.175327231175032</v>
      </c>
      <c r="AS30" s="61" t="str">
        <f t="shared" si="62"/>
        <v>55.0367065626813+844.796262053208i</v>
      </c>
      <c r="AT30" s="67">
        <f t="shared" si="63"/>
        <v>58.553433207285835</v>
      </c>
      <c r="AU30" s="64">
        <f t="shared" si="64"/>
        <v>86.27256743301966</v>
      </c>
    </row>
    <row r="31" spans="1:48" x14ac:dyDescent="0.25">
      <c r="N31" s="11">
        <v>13</v>
      </c>
      <c r="O31" s="53">
        <f t="shared" si="41"/>
        <v>13.489628825916535</v>
      </c>
      <c r="P31" s="51" t="str">
        <f t="shared" si="32"/>
        <v>122.692307692308</v>
      </c>
      <c r="Q31" s="18" t="str">
        <f t="shared" si="33"/>
        <v>1+0.0868767835792626i</v>
      </c>
      <c r="R31" s="18">
        <f t="shared" si="42"/>
        <v>1.0037666937715546</v>
      </c>
      <c r="S31" s="18">
        <f t="shared" si="43"/>
        <v>8.6659198381866739E-2</v>
      </c>
      <c r="T31" s="18" t="str">
        <f t="shared" si="34"/>
        <v>1+0.0000173753567158525i</v>
      </c>
      <c r="U31" s="18">
        <f t="shared" si="44"/>
        <v>1.0000000001509515</v>
      </c>
      <c r="V31" s="18">
        <f t="shared" si="45"/>
        <v>1.7375356714103943E-5</v>
      </c>
      <c r="W31" s="32" t="str">
        <f t="shared" si="35"/>
        <v>1-0.000823061646487675i</v>
      </c>
      <c r="X31" s="18">
        <f t="shared" si="46"/>
        <v>1.0000003387151797</v>
      </c>
      <c r="Y31" s="18">
        <f t="shared" si="47"/>
        <v>-8.2306146063207007E-4</v>
      </c>
      <c r="Z31" s="32" t="str">
        <f t="shared" si="36"/>
        <v>0.99999999405812+0.0000878306352443768i</v>
      </c>
      <c r="AA31" s="18">
        <f t="shared" si="48"/>
        <v>0.9999999979152302</v>
      </c>
      <c r="AB31" s="18">
        <f t="shared" si="49"/>
        <v>8.7830635540407605E-5</v>
      </c>
      <c r="AC31" s="69" t="str">
        <f t="shared" si="50"/>
        <v>121.763755309938-10.688071071376i</v>
      </c>
      <c r="AD31" s="67">
        <f t="shared" si="51"/>
        <v>41.743694040117333</v>
      </c>
      <c r="AE31" s="64">
        <f t="shared" si="52"/>
        <v>-5.0164010613631591</v>
      </c>
      <c r="AF31" s="32" t="str">
        <f t="shared" si="37"/>
        <v>-0.0000198412698412698</v>
      </c>
      <c r="AG31" s="32" t="str">
        <f t="shared" si="38"/>
        <v>2.93262118228535E-06i</v>
      </c>
      <c r="AH31" s="32">
        <f t="shared" si="53"/>
        <v>2.9326211822853498E-6</v>
      </c>
      <c r="AI31" s="32">
        <f t="shared" si="54"/>
        <v>1.5707963267948966</v>
      </c>
      <c r="AJ31" s="32" t="str">
        <f t="shared" si="39"/>
        <v>1+0.00101791713355118i</v>
      </c>
      <c r="AK31" s="32">
        <f t="shared" si="55"/>
        <v>1.0000005180775111</v>
      </c>
      <c r="AL31" s="32">
        <f t="shared" si="56"/>
        <v>1.0179167819779908E-3</v>
      </c>
      <c r="AM31" s="32" t="str">
        <f t="shared" si="40"/>
        <v>1+0.0220124580130442i</v>
      </c>
      <c r="AN31" s="32">
        <f t="shared" si="57"/>
        <v>1.0002422448126134</v>
      </c>
      <c r="AO31" s="32">
        <f t="shared" si="58"/>
        <v>2.2008903679907918E-2</v>
      </c>
      <c r="AP31" s="61" t="str">
        <f t="shared" si="59"/>
        <v>-0.142042866525393+6.76585642310969i</v>
      </c>
      <c r="AQ31" s="52">
        <f t="shared" si="60"/>
        <v>16.608369285002578</v>
      </c>
      <c r="AR31" s="64">
        <f t="shared" si="61"/>
        <v>91.202694957065788</v>
      </c>
      <c r="AS31" s="61" t="str">
        <f t="shared" si="62"/>
        <v>55.018281465802+825.354250218306i</v>
      </c>
      <c r="AT31" s="67">
        <f t="shared" si="63"/>
        <v>58.352063325119907</v>
      </c>
      <c r="AU31" s="64">
        <f t="shared" si="64"/>
        <v>86.186293895702633</v>
      </c>
    </row>
    <row r="32" spans="1:48" x14ac:dyDescent="0.25">
      <c r="N32" s="11">
        <v>14</v>
      </c>
      <c r="O32" s="53">
        <f t="shared" si="41"/>
        <v>13.803842646028857</v>
      </c>
      <c r="P32" s="51" t="str">
        <f t="shared" si="32"/>
        <v>122.692307692308</v>
      </c>
      <c r="Q32" s="18" t="str">
        <f t="shared" si="33"/>
        <v>1+0.0889004038285512i</v>
      </c>
      <c r="R32" s="18">
        <f t="shared" si="42"/>
        <v>1.0039438638693299</v>
      </c>
      <c r="S32" s="18">
        <f t="shared" si="43"/>
        <v>8.8667306526494502E-2</v>
      </c>
      <c r="T32" s="18" t="str">
        <f t="shared" si="34"/>
        <v>1+0.0000177800807657103i</v>
      </c>
      <c r="U32" s="18">
        <f t="shared" si="44"/>
        <v>1.0000000001580656</v>
      </c>
      <c r="V32" s="18">
        <f t="shared" si="45"/>
        <v>1.7780080763836688E-5</v>
      </c>
      <c r="W32" s="32" t="str">
        <f t="shared" si="35"/>
        <v>1-0.000842233215065898i</v>
      </c>
      <c r="X32" s="18">
        <f t="shared" si="46"/>
        <v>1.0000003546783314</v>
      </c>
      <c r="Y32" s="18">
        <f t="shared" si="47"/>
        <v>-8.4223301591803323E-4</v>
      </c>
      <c r="Z32" s="32" t="str">
        <f t="shared" si="36"/>
        <v>0.999999993778087+0.0000898764735531378i</v>
      </c>
      <c r="AA32" s="18">
        <f t="shared" si="48"/>
        <v>0.99999999781697735</v>
      </c>
      <c r="AB32" s="18">
        <f t="shared" si="49"/>
        <v>8.9876473870340596E-5</v>
      </c>
      <c r="AC32" s="69" t="str">
        <f t="shared" si="50"/>
        <v>121.720337130475-10.9331683346511i</v>
      </c>
      <c r="AD32" s="67">
        <f t="shared" si="51"/>
        <v>41.742161209792584</v>
      </c>
      <c r="AE32" s="64">
        <f t="shared" si="52"/>
        <v>-5.1326496609827119</v>
      </c>
      <c r="AF32" s="32" t="str">
        <f t="shared" si="37"/>
        <v>-0.0000198412698412698</v>
      </c>
      <c r="AG32" s="32" t="str">
        <f t="shared" si="38"/>
        <v>0.0000030009307048467i</v>
      </c>
      <c r="AH32" s="32">
        <f t="shared" si="53"/>
        <v>3.0009307048467E-6</v>
      </c>
      <c r="AI32" s="32">
        <f t="shared" si="54"/>
        <v>1.5707963267948966</v>
      </c>
      <c r="AJ32" s="32" t="str">
        <f t="shared" si="39"/>
        <v>1+0.00104162746948543i</v>
      </c>
      <c r="AK32" s="32">
        <f t="shared" si="55"/>
        <v>1.0000005424937455</v>
      </c>
      <c r="AL32" s="32">
        <f t="shared" si="56"/>
        <v>1.0416270927679815E-3</v>
      </c>
      <c r="AM32" s="32" t="str">
        <f t="shared" si="40"/>
        <v>1+0.0225251940276225i</v>
      </c>
      <c r="AN32" s="32">
        <f t="shared" si="57"/>
        <v>1.0002536600112903</v>
      </c>
      <c r="AO32" s="32">
        <f t="shared" si="58"/>
        <v>2.2521385543211113E-2</v>
      </c>
      <c r="AP32" s="61" t="str">
        <f t="shared" si="59"/>
        <v>-0.142042859589094+6.61185338740425i</v>
      </c>
      <c r="AQ32" s="52">
        <f t="shared" si="60"/>
        <v>16.408468199503172</v>
      </c>
      <c r="AR32" s="64">
        <f t="shared" si="61"/>
        <v>91.230699504170857</v>
      </c>
      <c r="AS32" s="61" t="str">
        <f t="shared" si="62"/>
        <v>54.9990013323625+806.350001866741i</v>
      </c>
      <c r="AT32" s="67">
        <f t="shared" si="63"/>
        <v>58.150629409295746</v>
      </c>
      <c r="AU32" s="64">
        <f t="shared" si="64"/>
        <v>86.098049843188164</v>
      </c>
      <c r="AV32" s="32"/>
    </row>
    <row r="33" spans="1:48" x14ac:dyDescent="0.25">
      <c r="K33" s="32"/>
      <c r="N33" s="11">
        <v>15</v>
      </c>
      <c r="O33" s="53">
        <f t="shared" si="41"/>
        <v>14.125375446227544</v>
      </c>
      <c r="P33" s="51" t="str">
        <f t="shared" si="32"/>
        <v>122.692307692308</v>
      </c>
      <c r="Q33" s="18" t="str">
        <f t="shared" si="33"/>
        <v>1+0.0909711602486855i</v>
      </c>
      <c r="R33" s="18">
        <f t="shared" si="42"/>
        <v>1.0041293502318274</v>
      </c>
      <c r="S33" s="18">
        <f t="shared" si="43"/>
        <v>9.0721447430666652E-2</v>
      </c>
      <c r="T33" s="18" t="str">
        <f t="shared" si="34"/>
        <v>1+0.0000181942320497371i</v>
      </c>
      <c r="U33" s="18">
        <f t="shared" si="44"/>
        <v>1.0000000001655152</v>
      </c>
      <c r="V33" s="18">
        <f t="shared" si="45"/>
        <v>1.8194232047729487E-5</v>
      </c>
      <c r="W33" s="32" t="str">
        <f t="shared" si="35"/>
        <v>1-0.000861851346843022i</v>
      </c>
      <c r="X33" s="18">
        <f t="shared" si="46"/>
        <v>1.000000371393803</v>
      </c>
      <c r="Y33" s="18">
        <f t="shared" si="47"/>
        <v>-8.6185113345224455E-4</v>
      </c>
      <c r="Z33" s="32" t="str">
        <f t="shared" si="36"/>
        <v>0.999999993484858+0.0000919699655578324i</v>
      </c>
      <c r="AA33" s="18">
        <f t="shared" si="48"/>
        <v>0.9999999977140952</v>
      </c>
      <c r="AB33" s="18">
        <f t="shared" si="49"/>
        <v>9.1969965897721248E-5</v>
      </c>
      <c r="AC33" s="69" t="str">
        <f t="shared" si="50"/>
        <v>121.674905549644-11.1837015766554i</v>
      </c>
      <c r="AD33" s="67">
        <f t="shared" si="51"/>
        <v>41.740556719149225</v>
      </c>
      <c r="AE33" s="64">
        <f t="shared" si="52"/>
        <v>-5.2515635197906274</v>
      </c>
      <c r="AF33" s="32" t="str">
        <f t="shared" si="37"/>
        <v>-0.0000198412698412698</v>
      </c>
      <c r="AG33" s="32" t="str">
        <f t="shared" si="38"/>
        <v>3.07083136058977E-06i</v>
      </c>
      <c r="AH33" s="32">
        <f t="shared" si="53"/>
        <v>3.0708313605897701E-6</v>
      </c>
      <c r="AI33" s="32">
        <f t="shared" si="54"/>
        <v>1.5707963267948966</v>
      </c>
      <c r="AJ33" s="32" t="str">
        <f t="shared" si="39"/>
        <v>1+0.00106589009009158i</v>
      </c>
      <c r="AK33" s="32">
        <f t="shared" si="55"/>
        <v>1.0000005680606807</v>
      </c>
      <c r="AL33" s="32">
        <f t="shared" si="56"/>
        <v>1.0658896864315737E-3</v>
      </c>
      <c r="AM33" s="32" t="str">
        <f t="shared" si="40"/>
        <v>1+0.0230498731982304i</v>
      </c>
      <c r="AN33" s="32">
        <f t="shared" si="57"/>
        <v>1.0002656130520804</v>
      </c>
      <c r="AO33" s="32">
        <f t="shared" si="58"/>
        <v>2.3045792392183986E-2</v>
      </c>
      <c r="AP33" s="61" t="str">
        <f t="shared" si="59"/>
        <v>-0.142042852325897+6.46135604388239i</v>
      </c>
      <c r="AQ33" s="52">
        <f t="shared" si="60"/>
        <v>16.208571773275683</v>
      </c>
      <c r="AR33" s="64">
        <f t="shared" si="61"/>
        <v>91.259355659147786</v>
      </c>
      <c r="AS33" s="61" t="str">
        <f t="shared" si="62"/>
        <v>54.9788271345438+787.773451233521i</v>
      </c>
      <c r="AT33" s="67">
        <f t="shared" si="63"/>
        <v>57.949128492424919</v>
      </c>
      <c r="AU33" s="64">
        <f t="shared" si="64"/>
        <v>86.007792139357178</v>
      </c>
    </row>
    <row r="34" spans="1:48" x14ac:dyDescent="0.25">
      <c r="A34" t="s">
        <v>241</v>
      </c>
      <c r="B34" s="28">
        <f>(Gcomp*(VIN_var/VOUT)*(VOUT/IOUT))/(2*R_cs*Acs)</f>
        <v>122.69230769230768</v>
      </c>
      <c r="C34" t="s">
        <v>183</v>
      </c>
      <c r="E34" t="s">
        <v>245</v>
      </c>
      <c r="K34" s="32"/>
      <c r="N34" s="11">
        <v>16</v>
      </c>
      <c r="O34" s="53">
        <f t="shared" si="41"/>
        <v>14.454397707459275</v>
      </c>
      <c r="P34" s="51" t="str">
        <f t="shared" si="32"/>
        <v>122.692307692308</v>
      </c>
      <c r="Q34" s="18" t="str">
        <f t="shared" si="33"/>
        <v>1+0.0930901507821294i</v>
      </c>
      <c r="R34" s="18">
        <f t="shared" si="42"/>
        <v>1.004323541580421</v>
      </c>
      <c r="S34" s="18">
        <f t="shared" si="43"/>
        <v>9.2822640849213309E-2</v>
      </c>
      <c r="T34" s="18" t="str">
        <f t="shared" si="34"/>
        <v>1+0.0000186180301564259i</v>
      </c>
      <c r="U34" s="18">
        <f t="shared" si="44"/>
        <v>1.0000000001733156</v>
      </c>
      <c r="V34" s="18">
        <f t="shared" si="45"/>
        <v>1.8618030154274704E-5</v>
      </c>
      <c r="W34" s="32" t="str">
        <f t="shared" si="35"/>
        <v>1-0.000881926443612194i</v>
      </c>
      <c r="X34" s="18">
        <f t="shared" si="46"/>
        <v>1.0000003888970503</v>
      </c>
      <c r="Y34" s="18">
        <f t="shared" si="47"/>
        <v>-8.8192621495986122E-4</v>
      </c>
      <c r="Z34" s="32" t="str">
        <f t="shared" si="36"/>
        <v>0.999999993177809+0.0000941122212556322i</v>
      </c>
      <c r="AA34" s="18">
        <f t="shared" si="48"/>
        <v>0.99999999760636404</v>
      </c>
      <c r="AB34" s="18">
        <f t="shared" si="49"/>
        <v>9.4112221619829648E-5</v>
      </c>
      <c r="AC34" s="69" t="str">
        <f t="shared" si="50"/>
        <v>121.627368806651-11.4397782485791i</v>
      </c>
      <c r="AD34" s="67">
        <f t="shared" si="51"/>
        <v>41.738877246403646</v>
      </c>
      <c r="AE34" s="64">
        <f t="shared" si="52"/>
        <v>-5.3732017124264244</v>
      </c>
      <c r="AF34" s="32" t="str">
        <f t="shared" si="37"/>
        <v>-0.0000198412698412698</v>
      </c>
      <c r="AG34" s="32" t="str">
        <f t="shared" si="38"/>
        <v>3.14236021176749E-06i</v>
      </c>
      <c r="AH34" s="32">
        <f t="shared" si="53"/>
        <v>3.1423602117674902E-6</v>
      </c>
      <c r="AI34" s="32">
        <f t="shared" si="54"/>
        <v>1.5707963267948966</v>
      </c>
      <c r="AJ34" s="32" t="str">
        <f t="shared" si="39"/>
        <v>1+0.00109071785973221i</v>
      </c>
      <c r="AK34" s="32">
        <f t="shared" si="55"/>
        <v>1.0000005948325479</v>
      </c>
      <c r="AL34" s="32">
        <f t="shared" si="56"/>
        <v>1.0907174272027345E-3</v>
      </c>
      <c r="AM34" s="32" t="str">
        <f t="shared" si="40"/>
        <v>1+0.0235867737167091i</v>
      </c>
      <c r="AN34" s="32">
        <f t="shared" si="57"/>
        <v>1.0002781292692364</v>
      </c>
      <c r="AO34" s="32">
        <f t="shared" si="58"/>
        <v>2.3582401119912246E-2</v>
      </c>
      <c r="AP34" s="61" t="str">
        <f t="shared" si="59"/>
        <v>-0.142042844720396+6.3142845968604i</v>
      </c>
      <c r="AQ34" s="52">
        <f t="shared" si="60"/>
        <v>16.008680225670918</v>
      </c>
      <c r="AR34" s="64">
        <f t="shared" si="61"/>
        <v>91.288678549735465</v>
      </c>
      <c r="AS34" s="61" t="str">
        <f t="shared" si="62"/>
        <v>54.9577181253482+769.614760057894i</v>
      </c>
      <c r="AT34" s="67">
        <f t="shared" si="63"/>
        <v>57.747557472074561</v>
      </c>
      <c r="AU34" s="64">
        <f t="shared" si="64"/>
        <v>85.915476837309043</v>
      </c>
    </row>
    <row r="35" spans="1:48" x14ac:dyDescent="0.25">
      <c r="A35" t="s">
        <v>258</v>
      </c>
      <c r="B35" s="30">
        <f>2/(Cout*(VOUT/IOUT))</f>
        <v>975.6097560975611</v>
      </c>
      <c r="C35" t="s">
        <v>257</v>
      </c>
      <c r="E35" t="s">
        <v>248</v>
      </c>
      <c r="N35" s="11">
        <v>17</v>
      </c>
      <c r="O35" s="53">
        <f t="shared" si="41"/>
        <v>14.791083881682074</v>
      </c>
      <c r="P35" s="51" t="str">
        <f t="shared" si="32"/>
        <v>122.692307692308</v>
      </c>
      <c r="Q35" s="18" t="str">
        <f t="shared" si="33"/>
        <v>1+0.0952584989457117i</v>
      </c>
      <c r="R35" s="18">
        <f t="shared" si="42"/>
        <v>1.0045268446494549</v>
      </c>
      <c r="S35" s="18">
        <f t="shared" si="43"/>
        <v>9.4971926607317583E-2</v>
      </c>
      <c r="T35" s="18" t="str">
        <f t="shared" si="34"/>
        <v>1+0.0000190516997891424i</v>
      </c>
      <c r="U35" s="18">
        <f t="shared" si="44"/>
        <v>1.0000000001814837</v>
      </c>
      <c r="V35" s="18">
        <f t="shared" si="45"/>
        <v>1.9051699786837351E-5</v>
      </c>
      <c r="W35" s="32" t="str">
        <f t="shared" si="35"/>
        <v>1-0.000902469149455446i</v>
      </c>
      <c r="X35" s="18">
        <f t="shared" si="46"/>
        <v>1.0000004072252</v>
      </c>
      <c r="Y35" s="18">
        <f t="shared" si="47"/>
        <v>-9.0246890445006261E-4</v>
      </c>
      <c r="Z35" s="32" t="str">
        <f t="shared" si="36"/>
        <v>0.999999992856289+0.0000963043764988642i</v>
      </c>
      <c r="AA35" s="18">
        <f t="shared" si="48"/>
        <v>0.99999999749355561</v>
      </c>
      <c r="AB35" s="18">
        <f t="shared" si="49"/>
        <v>9.6304376889108794E-5</v>
      </c>
      <c r="AC35" s="69" t="str">
        <f t="shared" si="50"/>
        <v>121.577631112081-11.7015069768924i</v>
      </c>
      <c r="AD35" s="67">
        <f t="shared" si="51"/>
        <v>41.737119318503488</v>
      </c>
      <c r="AE35" s="64">
        <f t="shared" si="52"/>
        <v>-5.497624478546312</v>
      </c>
      <c r="AF35" s="32" t="str">
        <f t="shared" si="37"/>
        <v>-0.0000198412698412698</v>
      </c>
      <c r="AG35" s="32" t="str">
        <f t="shared" si="38"/>
        <v>3.21555518392354E-06i</v>
      </c>
      <c r="AH35" s="32">
        <f t="shared" si="53"/>
        <v>3.2155551839235398E-6</v>
      </c>
      <c r="AI35" s="32">
        <f t="shared" si="54"/>
        <v>1.5707963267948966</v>
      </c>
      <c r="AJ35" s="32" t="str">
        <f t="shared" si="39"/>
        <v>1+0.00111612394241944i</v>
      </c>
      <c r="AK35" s="32">
        <f t="shared" si="55"/>
        <v>1.0000006228661333</v>
      </c>
      <c r="AL35" s="32">
        <f t="shared" si="56"/>
        <v>1.1161234789557723E-3</v>
      </c>
      <c r="AM35" s="32" t="str">
        <f t="shared" si="40"/>
        <v>1+0.0241361802548203i</v>
      </c>
      <c r="AN35" s="32">
        <f t="shared" si="57"/>
        <v>1.0002912351896787</v>
      </c>
      <c r="AO35" s="32">
        <f t="shared" si="58"/>
        <v>2.4131495006610635E-2</v>
      </c>
      <c r="AP35" s="61" t="str">
        <f t="shared" si="59"/>
        <v>-0.142042836756461+6.17056106711035i</v>
      </c>
      <c r="AQ35" s="52">
        <f t="shared" si="60"/>
        <v>15.808793786354997</v>
      </c>
      <c r="AR35" s="64">
        <f t="shared" si="61"/>
        <v>91.31868365246018</v>
      </c>
      <c r="AS35" s="61" t="str">
        <f t="shared" si="62"/>
        <v>54.9356317688418+751.864312417034i</v>
      </c>
      <c r="AT35" s="67">
        <f t="shared" si="63"/>
        <v>57.545913104858485</v>
      </c>
      <c r="AU35" s="64">
        <f t="shared" si="64"/>
        <v>85.821059173913881</v>
      </c>
    </row>
    <row r="36" spans="1:48" x14ac:dyDescent="0.25">
      <c r="B36" s="29">
        <f>wp_lf/(2*PI())</f>
        <v>155.27311521160524</v>
      </c>
      <c r="C36" t="s">
        <v>71</v>
      </c>
      <c r="N36" s="11">
        <v>18</v>
      </c>
      <c r="O36" s="53">
        <f t="shared" si="41"/>
        <v>15.135612484362087</v>
      </c>
      <c r="P36" s="51" t="str">
        <f t="shared" si="32"/>
        <v>122.692307692308</v>
      </c>
      <c r="Q36" s="18" t="str">
        <f t="shared" si="33"/>
        <v>1+0.0974773544263305i</v>
      </c>
      <c r="R36" s="18">
        <f t="shared" si="42"/>
        <v>1.0047396850060002</v>
      </c>
      <c r="S36" s="18">
        <f t="shared" si="43"/>
        <v>9.7170364813154303E-2</v>
      </c>
      <c r="T36" s="18" t="str">
        <f t="shared" si="34"/>
        <v>1+0.0000194954708852661i</v>
      </c>
      <c r="U36" s="18">
        <f t="shared" si="44"/>
        <v>1.0000000001900367</v>
      </c>
      <c r="V36" s="18">
        <f t="shared" si="45"/>
        <v>1.9495470882796197E-5</v>
      </c>
      <c r="W36" s="32" t="str">
        <f t="shared" si="35"/>
        <v>1-0.000923490356387331i</v>
      </c>
      <c r="X36" s="18">
        <f t="shared" si="46"/>
        <v>1.0000004264171283</v>
      </c>
      <c r="Y36" s="18">
        <f t="shared" si="47"/>
        <v>-9.2349009385933882E-4</v>
      </c>
      <c r="Z36" s="32" t="str">
        <f t="shared" si="36"/>
        <v>0.999999992519616+0.0000985475935972552i</v>
      </c>
      <c r="AA36" s="18">
        <f t="shared" si="48"/>
        <v>0.99999999737543022</v>
      </c>
      <c r="AB36" s="18">
        <f t="shared" si="49"/>
        <v>9.8547594015409849E-5</v>
      </c>
      <c r="AC36" s="69" t="str">
        <f t="shared" si="50"/>
        <v>121.52559248573-11.9689975009553i</v>
      </c>
      <c r="AD36" s="67">
        <f t="shared" si="51"/>
        <v>41.735279304497936</v>
      </c>
      <c r="AE36" s="64">
        <f t="shared" si="52"/>
        <v>-5.6248932353576118</v>
      </c>
      <c r="AF36" s="32" t="str">
        <f t="shared" si="37"/>
        <v>-0.0000198412698412698</v>
      </c>
      <c r="AG36" s="32" t="str">
        <f t="shared" si="38"/>
        <v>3.29045508600101E-06i</v>
      </c>
      <c r="AH36" s="32">
        <f t="shared" si="53"/>
        <v>3.2904550860010101E-6</v>
      </c>
      <c r="AI36" s="32">
        <f t="shared" si="54"/>
        <v>1.5707963267948966</v>
      </c>
      <c r="AJ36" s="32" t="str">
        <f t="shared" si="39"/>
        <v>1+0.00114212180879458i</v>
      </c>
      <c r="AK36" s="32">
        <f t="shared" si="55"/>
        <v>1.0000006522209004</v>
      </c>
      <c r="AL36" s="32">
        <f t="shared" si="56"/>
        <v>1.1421213121843303E-3</v>
      </c>
      <c r="AM36" s="32" t="str">
        <f t="shared" si="40"/>
        <v>1+0.0246983841151827i</v>
      </c>
      <c r="AN36" s="32">
        <f t="shared" si="57"/>
        <v>1.00030495858908</v>
      </c>
      <c r="AO36" s="32">
        <f t="shared" si="58"/>
        <v>2.46933638639346E-2</v>
      </c>
      <c r="AP36" s="61" t="str">
        <f t="shared" si="59"/>
        <v>-0.142042828417197+6.03010925051425i</v>
      </c>
      <c r="AQ36" s="52">
        <f t="shared" si="60"/>
        <v>15.608912695793</v>
      </c>
      <c r="AR36" s="64">
        <f t="shared" si="61"/>
        <v>91.349386800504192</v>
      </c>
      <c r="AS36" s="61" t="str">
        <f t="shared" si="62"/>
        <v>54.9125236681437+734.512709680779i</v>
      </c>
      <c r="AT36" s="67">
        <f t="shared" si="63"/>
        <v>57.344192000290931</v>
      </c>
      <c r="AU36" s="64">
        <f t="shared" si="64"/>
        <v>85.724493565146588</v>
      </c>
    </row>
    <row r="37" spans="1:48" x14ac:dyDescent="0.25">
      <c r="B37" s="1"/>
      <c r="C37" t="s">
        <v>281</v>
      </c>
      <c r="E37" t="s">
        <v>280</v>
      </c>
      <c r="N37" s="11">
        <v>19</v>
      </c>
      <c r="O37" s="53">
        <f t="shared" si="41"/>
        <v>15.488166189124817</v>
      </c>
      <c r="P37" s="51" t="str">
        <f t="shared" si="32"/>
        <v>122.692307692308</v>
      </c>
      <c r="Q37" s="18" t="str">
        <f t="shared" si="33"/>
        <v>1+0.0997478936905313i</v>
      </c>
      <c r="R37" s="18">
        <f t="shared" si="42"/>
        <v>1.0049625079054927</v>
      </c>
      <c r="S37" s="18">
        <f t="shared" si="43"/>
        <v>9.9419036058270585E-2</v>
      </c>
      <c r="T37" s="18" t="str">
        <f t="shared" si="34"/>
        <v>1+0.0000199495787381063i</v>
      </c>
      <c r="U37" s="18">
        <f t="shared" si="44"/>
        <v>1.0000000001989928</v>
      </c>
      <c r="V37" s="18">
        <f t="shared" si="45"/>
        <v>1.9949578735459751E-5</v>
      </c>
      <c r="W37" s="32" t="str">
        <f t="shared" si="35"/>
        <v>1-0.000945001210130011i</v>
      </c>
      <c r="X37" s="18">
        <f t="shared" si="46"/>
        <v>1.0000004465135439</v>
      </c>
      <c r="Y37" s="18">
        <f t="shared" si="47"/>
        <v>-9.4500092882620615E-4</v>
      </c>
      <c r="Z37" s="32" t="str">
        <f t="shared" si="36"/>
        <v>0.999999992167076+0.000100843061934203i</v>
      </c>
      <c r="AA37" s="18">
        <f t="shared" si="48"/>
        <v>0.9999999972517376</v>
      </c>
      <c r="AB37" s="18">
        <f t="shared" si="49"/>
        <v>1.0084306238226382E-4</v>
      </c>
      <c r="AC37" s="69" t="str">
        <f t="shared" si="50"/>
        <v>121.471148589349-12.2423606033667i</v>
      </c>
      <c r="AD37" s="67">
        <f t="shared" si="51"/>
        <v>41.733353408642444</v>
      </c>
      <c r="AE37" s="64">
        <f t="shared" si="52"/>
        <v>-5.7550705894586205</v>
      </c>
      <c r="AF37" s="32" t="str">
        <f t="shared" si="37"/>
        <v>-0.0000198412698412698</v>
      </c>
      <c r="AG37" s="32" t="str">
        <f t="shared" si="38"/>
        <v>0.0000033670996309194i</v>
      </c>
      <c r="AH37" s="32">
        <f t="shared" si="53"/>
        <v>3.3670996309194001E-6</v>
      </c>
      <c r="AI37" s="32">
        <f t="shared" si="54"/>
        <v>1.5707963267948966</v>
      </c>
      <c r="AJ37" s="32" t="str">
        <f t="shared" si="39"/>
        <v>1+0.00116872524327051i</v>
      </c>
      <c r="AK37" s="32">
        <f t="shared" si="55"/>
        <v>1.0000006829591139</v>
      </c>
      <c r="AL37" s="32">
        <f t="shared" si="56"/>
        <v>1.1687247111430601E-3</v>
      </c>
      <c r="AM37" s="32" t="str">
        <f t="shared" si="40"/>
        <v>1+0.0252736833857248i</v>
      </c>
      <c r="AN37" s="32">
        <f t="shared" si="57"/>
        <v>1.0003193285505794</v>
      </c>
      <c r="AO37" s="32">
        <f t="shared" si="58"/>
        <v>2.5268304182335829E-2</v>
      </c>
      <c r="AP37" s="61" t="str">
        <f t="shared" si="59"/>
        <v>-0.142042819684918+5.89285467765983i</v>
      </c>
      <c r="AQ37" s="52">
        <f t="shared" si="60"/>
        <v>15.40903720575583</v>
      </c>
      <c r="AR37" s="64">
        <f t="shared" si="61"/>
        <v>91.380804191739458</v>
      </c>
      <c r="AS37" s="61" t="str">
        <f t="shared" si="62"/>
        <v>54.8883474911511+717.550765585159i</v>
      </c>
      <c r="AT37" s="67">
        <f t="shared" si="63"/>
        <v>57.142390614398273</v>
      </c>
      <c r="AU37" s="64">
        <f t="shared" si="64"/>
        <v>85.625733602280846</v>
      </c>
      <c r="AV37" s="32"/>
    </row>
    <row r="38" spans="1:48" x14ac:dyDescent="0.25">
      <c r="A38" t="s">
        <v>259</v>
      </c>
      <c r="B38" s="30">
        <f>((VOUT/IOUT)*((VIN_var/VOUT)^2))/(Lm)</f>
        <v>102978.72340425532</v>
      </c>
      <c r="C38" t="s">
        <v>257</v>
      </c>
      <c r="E38" t="s">
        <v>249</v>
      </c>
      <c r="N38" s="11">
        <v>20</v>
      </c>
      <c r="O38" s="53">
        <f t="shared" si="41"/>
        <v>15.848931924611136</v>
      </c>
      <c r="P38" s="51" t="str">
        <f t="shared" si="32"/>
        <v>122.692307692308</v>
      </c>
      <c r="Q38" s="18" t="str">
        <f t="shared" si="33"/>
        <v>1+0.102071320608286i</v>
      </c>
      <c r="R38" s="18">
        <f t="shared" si="42"/>
        <v>1.0051957791846917</v>
      </c>
      <c r="S38" s="18">
        <f t="shared" si="43"/>
        <v>0.10171904160431659</v>
      </c>
      <c r="T38" s="18" t="str">
        <f t="shared" si="34"/>
        <v>1+0.0000204142641216573i</v>
      </c>
      <c r="U38" s="18">
        <f t="shared" si="44"/>
        <v>1.0000000002083711</v>
      </c>
      <c r="V38" s="18">
        <f t="shared" si="45"/>
        <v>2.041426411882147E-5</v>
      </c>
      <c r="W38" s="32" t="str">
        <f t="shared" si="35"/>
        <v>1-0.000967013116022873i</v>
      </c>
      <c r="X38" s="18">
        <f t="shared" si="46"/>
        <v>1.0000004675570739</v>
      </c>
      <c r="Y38" s="18">
        <f t="shared" si="47"/>
        <v>-9.6701281460042298E-4</v>
      </c>
      <c r="Z38" s="32" t="str">
        <f t="shared" si="36"/>
        <v>0.999999991797922+0.000103191998597404i</v>
      </c>
      <c r="AA38" s="18">
        <f t="shared" si="48"/>
        <v>0.99999999712221632</v>
      </c>
      <c r="AB38" s="18">
        <f t="shared" si="49"/>
        <v>1.0319199907750978E-4</v>
      </c>
      <c r="AC38" s="69" t="str">
        <f t="shared" si="50"/>
        <v>121.414190554279-12.5217080325419i</v>
      </c>
      <c r="AD38" s="67">
        <f t="shared" si="51"/>
        <v>41.731337663229446</v>
      </c>
      <c r="AE38" s="64">
        <f t="shared" si="52"/>
        <v>-5.8882203479054018</v>
      </c>
      <c r="AF38" s="32" t="str">
        <f t="shared" si="37"/>
        <v>-0.0000198412698412698</v>
      </c>
      <c r="AG38" s="32" t="str">
        <f t="shared" si="38"/>
        <v>3.44552945663093E-06i</v>
      </c>
      <c r="AH38" s="32">
        <f t="shared" si="53"/>
        <v>3.4455294566309299E-6</v>
      </c>
      <c r="AI38" s="32">
        <f t="shared" si="54"/>
        <v>1.5707963267948966</v>
      </c>
      <c r="AJ38" s="32" t="str">
        <f t="shared" si="39"/>
        <v>1+0.00119594835134033i</v>
      </c>
      <c r="AK38" s="32">
        <f t="shared" si="55"/>
        <v>1.0000007151459738</v>
      </c>
      <c r="AL38" s="32">
        <f t="shared" si="56"/>
        <v>1.1959477811555165E-3</v>
      </c>
      <c r="AM38" s="32" t="str">
        <f t="shared" si="40"/>
        <v>1+0.0258623830977347i</v>
      </c>
      <c r="AN38" s="32">
        <f t="shared" si="57"/>
        <v>1.0003343755262506</v>
      </c>
      <c r="AO38" s="32">
        <f t="shared" si="58"/>
        <v>2.585661928150881E-2</v>
      </c>
      <c r="AP38" s="61" t="str">
        <f t="shared" si="59"/>
        <v>-0.1420428105411+5.75872457435568i</v>
      </c>
      <c r="AQ38" s="52">
        <f t="shared" si="60"/>
        <v>15.209167579850163</v>
      </c>
      <c r="AR38" s="64">
        <f t="shared" si="61"/>
        <v>91.412952396928787</v>
      </c>
      <c r="AS38" s="61" t="str">
        <f t="shared" si="62"/>
        <v>54.8630548940035+700.969501422147i</v>
      </c>
      <c r="AT38" s="67">
        <f t="shared" si="63"/>
        <v>56.940505243079606</v>
      </c>
      <c r="AU38" s="64">
        <f t="shared" si="64"/>
        <v>85.524732049023399</v>
      </c>
      <c r="AV38" s="32"/>
    </row>
    <row r="39" spans="1:48" x14ac:dyDescent="0.25">
      <c r="A39" s="32"/>
      <c r="B39" s="1"/>
      <c r="C39" s="32" t="s">
        <v>71</v>
      </c>
      <c r="D39" s="32"/>
      <c r="E39" s="32"/>
      <c r="F39" s="32"/>
      <c r="G39" s="32"/>
      <c r="N39" s="11">
        <v>21</v>
      </c>
      <c r="O39" s="53">
        <f t="shared" si="41"/>
        <v>16.218100973589298</v>
      </c>
      <c r="P39" s="51" t="str">
        <f t="shared" si="32"/>
        <v>122.692307692308</v>
      </c>
      <c r="Q39" s="18" t="str">
        <f t="shared" si="33"/>
        <v>1+0.104448867091301i</v>
      </c>
      <c r="R39" s="18">
        <f t="shared" si="42"/>
        <v>1.0054399861934358</v>
      </c>
      <c r="S39" s="18">
        <f t="shared" si="43"/>
        <v>0.10407150355463002</v>
      </c>
      <c r="T39" s="18" t="str">
        <f t="shared" si="34"/>
        <v>1+0.0000208897734182603i</v>
      </c>
      <c r="U39" s="18">
        <f t="shared" si="44"/>
        <v>1.0000000002181912</v>
      </c>
      <c r="V39" s="18">
        <f t="shared" si="45"/>
        <v>2.0889773415221653E-5</v>
      </c>
      <c r="W39" s="32" t="str">
        <f t="shared" si="35"/>
        <v>1-0.000989537745069779i</v>
      </c>
      <c r="X39" s="18">
        <f t="shared" si="46"/>
        <v>1.0000004895923547</v>
      </c>
      <c r="Y39" s="18">
        <f t="shared" si="47"/>
        <v>-9.8953742208981337E-4</v>
      </c>
      <c r="Z39" s="32" t="str">
        <f t="shared" si="36"/>
        <v>0.99999999141137+0.000105595649024169i</v>
      </c>
      <c r="AA39" s="18">
        <f t="shared" si="48"/>
        <v>0.99999999698659048</v>
      </c>
      <c r="AB39" s="18">
        <f t="shared" si="49"/>
        <v>1.0559564953861161E-4</v>
      </c>
      <c r="AC39" s="69" t="str">
        <f t="shared" si="50"/>
        <v>121.354604803991-12.8071524169752i</v>
      </c>
      <c r="AD39" s="67">
        <f t="shared" si="51"/>
        <v>41.729227921137024</v>
      </c>
      <c r="AE39" s="64">
        <f t="shared" si="52"/>
        <v>-6.0244075284188341</v>
      </c>
      <c r="AF39" s="32" t="str">
        <f t="shared" si="37"/>
        <v>-0.0000198412698412698</v>
      </c>
      <c r="AG39" s="32" t="str">
        <f t="shared" si="38"/>
        <v>3.52578614766735E-06i</v>
      </c>
      <c r="AH39" s="32">
        <f t="shared" si="53"/>
        <v>3.5257861476673502E-6</v>
      </c>
      <c r="AI39" s="32">
        <f t="shared" si="54"/>
        <v>1.5707963267948966</v>
      </c>
      <c r="AJ39" s="32" t="str">
        <f t="shared" si="39"/>
        <v>1+0.00122380556705628i</v>
      </c>
      <c r="AK39" s="32">
        <f t="shared" si="55"/>
        <v>1.0000007488497527</v>
      </c>
      <c r="AL39" s="32">
        <f t="shared" si="56"/>
        <v>1.2238049560922696E-3</v>
      </c>
      <c r="AM39" s="32" t="str">
        <f t="shared" si="40"/>
        <v>1+0.0264647953875921i</v>
      </c>
      <c r="AN39" s="32">
        <f t="shared" si="57"/>
        <v>1.0003501314014545</v>
      </c>
      <c r="AO39" s="32">
        <f t="shared" si="58"/>
        <v>2.6458619463977564E-2</v>
      </c>
      <c r="AP39" s="61" t="str">
        <f t="shared" si="59"/>
        <v>-0.142042800966348+5.62764782304554i</v>
      </c>
      <c r="AQ39" s="52">
        <f t="shared" si="60"/>
        <v>15.009304094073562</v>
      </c>
      <c r="AR39" s="64">
        <f t="shared" si="61"/>
        <v>91.44584836809733</v>
      </c>
      <c r="AS39" s="61" t="str">
        <f t="shared" si="62"/>
        <v>54.8365954422798+684.760141343442i</v>
      </c>
      <c r="AT39" s="67">
        <f t="shared" si="63"/>
        <v>56.738532015210588</v>
      </c>
      <c r="AU39" s="64">
        <f t="shared" si="64"/>
        <v>85.421440839678496</v>
      </c>
    </row>
    <row r="40" spans="1:48" x14ac:dyDescent="0.25">
      <c r="A40" s="32"/>
      <c r="B40" s="1"/>
      <c r="C40" s="32"/>
      <c r="D40" s="32"/>
      <c r="E40" s="32"/>
      <c r="F40" s="32"/>
      <c r="G40" s="32"/>
      <c r="N40" s="11">
        <v>22</v>
      </c>
      <c r="O40" s="53">
        <f t="shared" si="41"/>
        <v>16.595869074375614</v>
      </c>
      <c r="P40" s="51" t="str">
        <f t="shared" si="32"/>
        <v>122.692307692308</v>
      </c>
      <c r="Q40" s="18" t="str">
        <f t="shared" si="33"/>
        <v>1+0.106881793746193i</v>
      </c>
      <c r="R40" s="18">
        <f t="shared" si="42"/>
        <v>1.0056956387667213</v>
      </c>
      <c r="S40" s="18">
        <f t="shared" si="43"/>
        <v>0.10647756500907764</v>
      </c>
      <c r="T40" s="18" t="str">
        <f t="shared" si="34"/>
        <v>1+0.0000213763587492386i</v>
      </c>
      <c r="U40" s="18">
        <f t="shared" si="44"/>
        <v>1.0000000002284744</v>
      </c>
      <c r="V40" s="18">
        <f t="shared" si="45"/>
        <v>2.1376358745982631E-5</v>
      </c>
      <c r="W40" s="32" t="str">
        <f t="shared" si="35"/>
        <v>1-0.00101258704012721i</v>
      </c>
      <c r="X40" s="18">
        <f t="shared" si="46"/>
        <v>1.0000005126661256</v>
      </c>
      <c r="Y40" s="18">
        <f t="shared" si="47"/>
        <v>-1.0125866940479513E-3</v>
      </c>
      <c r="Z40" s="32" t="str">
        <f t="shared" si="36"/>
        <v>0.9999999910066+0.00010805528766177i</v>
      </c>
      <c r="AA40" s="18">
        <f t="shared" si="48"/>
        <v>0.99999999684457253</v>
      </c>
      <c r="AB40" s="18">
        <f t="shared" si="49"/>
        <v>1.0805528821300521E-4</v>
      </c>
      <c r="AC40" s="69" t="str">
        <f t="shared" si="50"/>
        <v>121.292272871548-13.0988071706173i</v>
      </c>
      <c r="AD40" s="67">
        <f t="shared" si="51"/>
        <v>41.727019848086655</v>
      </c>
      <c r="AE40" s="64">
        <f t="shared" si="52"/>
        <v>-6.1636983686412465</v>
      </c>
      <c r="AF40" s="32" t="str">
        <f t="shared" si="37"/>
        <v>-0.0000198412698412698</v>
      </c>
      <c r="AG40" s="32" t="str">
        <f t="shared" si="38"/>
        <v>3.60791225718856E-06i</v>
      </c>
      <c r="AH40" s="32">
        <f t="shared" si="53"/>
        <v>3.6079122571885598E-6</v>
      </c>
      <c r="AI40" s="32">
        <f t="shared" si="54"/>
        <v>1.5707963267948966</v>
      </c>
      <c r="AJ40" s="32" t="str">
        <f t="shared" si="39"/>
        <v>1+0.00125231166068287i</v>
      </c>
      <c r="AK40" s="32">
        <f t="shared" si="55"/>
        <v>1.0000007841419403</v>
      </c>
      <c r="AL40" s="32">
        <f t="shared" si="56"/>
        <v>1.2523110060231658E-3</v>
      </c>
      <c r="AM40" s="32" t="str">
        <f t="shared" si="40"/>
        <v>1+0.0270812396622671i</v>
      </c>
      <c r="AN40" s="32">
        <f t="shared" si="57"/>
        <v>1.0003666295622047</v>
      </c>
      <c r="AO40" s="32">
        <f t="shared" si="58"/>
        <v>2.7074622171868606E-2</v>
      </c>
      <c r="AP40" s="61" t="str">
        <f t="shared" si="59"/>
        <v>-0.142042790940354+5.49955492510082i</v>
      </c>
      <c r="AQ40" s="52">
        <f t="shared" si="60"/>
        <v>14.809447037395309</v>
      </c>
      <c r="AR40" s="64">
        <f t="shared" si="61"/>
        <v>91.479509447076481</v>
      </c>
      <c r="AS40" s="61" t="str">
        <f t="shared" si="62"/>
        <v>54.8089165299407+668.914107775898i</v>
      </c>
      <c r="AT40" s="67">
        <f t="shared" si="63"/>
        <v>56.536466885481964</v>
      </c>
      <c r="AU40" s="64">
        <f t="shared" si="64"/>
        <v>85.315811078435232</v>
      </c>
    </row>
    <row r="41" spans="1:48" x14ac:dyDescent="0.25">
      <c r="A41" t="s">
        <v>260</v>
      </c>
      <c r="B41" s="30">
        <f>1/(Cout*Resr)</f>
        <v>4878048.7804878047</v>
      </c>
      <c r="C41" t="s">
        <v>257</v>
      </c>
      <c r="E41" t="s">
        <v>250</v>
      </c>
      <c r="N41" s="11">
        <v>23</v>
      </c>
      <c r="O41" s="53">
        <f t="shared" si="41"/>
        <v>16.982436524617448</v>
      </c>
      <c r="P41" s="51" t="str">
        <f t="shared" si="32"/>
        <v>122.692307692308</v>
      </c>
      <c r="Q41" s="18" t="str">
        <f t="shared" si="33"/>
        <v>1+0.109371390542876i</v>
      </c>
      <c r="R41" s="18">
        <f t="shared" si="42"/>
        <v>1.0059632702386714</v>
      </c>
      <c r="S41" s="18">
        <f t="shared" si="43"/>
        <v>0.10893839020044543</v>
      </c>
      <c r="T41" s="18" t="str">
        <f t="shared" si="34"/>
        <v>1+0.0000218742781085752i</v>
      </c>
      <c r="U41" s="18">
        <f t="shared" si="44"/>
        <v>1.000000000239242</v>
      </c>
      <c r="V41" s="18">
        <f t="shared" si="45"/>
        <v>2.1874278105086368E-5</v>
      </c>
      <c r="W41" s="32" t="str">
        <f t="shared" si="35"/>
        <v>1-0.00103617322223648i</v>
      </c>
      <c r="X41" s="18">
        <f t="shared" si="46"/>
        <v>1.0000005368273293</v>
      </c>
      <c r="Y41" s="18">
        <f t="shared" si="47"/>
        <v>-1.0361728514058836E-3</v>
      </c>
      <c r="Z41" s="32" t="str">
        <f t="shared" si="36"/>
        <v>0.999999990582754+0.00011057221864317i</v>
      </c>
      <c r="AA41" s="18">
        <f t="shared" si="48"/>
        <v>0.9999999966958617</v>
      </c>
      <c r="AB41" s="18">
        <f t="shared" si="49"/>
        <v>1.1057221923382919E-4</v>
      </c>
      <c r="AC41" s="69" t="str">
        <f t="shared" si="50"/>
        <v>121.227071212066-13.3967863887684i</v>
      </c>
      <c r="AD41" s="67">
        <f t="shared" si="51"/>
        <v>41.724708914603667</v>
      </c>
      <c r="AE41" s="64">
        <f t="shared" si="52"/>
        <v>-6.3061603343446206</v>
      </c>
      <c r="AF41" s="32" t="str">
        <f t="shared" si="37"/>
        <v>-0.0000198412698412698</v>
      </c>
      <c r="AG41" s="32" t="str">
        <f t="shared" si="38"/>
        <v>3.69195132954489E-06i</v>
      </c>
      <c r="AH41" s="32">
        <f t="shared" si="53"/>
        <v>3.6919513295448899E-6</v>
      </c>
      <c r="AI41" s="32">
        <f t="shared" si="54"/>
        <v>1.5707963267948966</v>
      </c>
      <c r="AJ41" s="32" t="str">
        <f t="shared" si="39"/>
        <v>1+0.00128148174652825i</v>
      </c>
      <c r="AK41" s="32">
        <f t="shared" si="55"/>
        <v>1.0000008210973963</v>
      </c>
      <c r="AL41" s="32">
        <f t="shared" si="56"/>
        <v>1.2814810450477694E-3</v>
      </c>
      <c r="AM41" s="32" t="str">
        <f t="shared" si="40"/>
        <v>1+0.0277120427686734i</v>
      </c>
      <c r="AN41" s="32">
        <f t="shared" si="57"/>
        <v>1.0003839049656951</v>
      </c>
      <c r="AO41" s="32">
        <f t="shared" si="58"/>
        <v>2.7704952146916494E-2</v>
      </c>
      <c r="AP41" s="61" t="str">
        <f t="shared" si="59"/>
        <v>-0.14204278044185+5.37437796397142i</v>
      </c>
      <c r="AQ41" s="52">
        <f t="shared" si="60"/>
        <v>14.609596712364164</v>
      </c>
      <c r="AR41" s="64">
        <f t="shared" si="61"/>
        <v>91.513953374222979</v>
      </c>
      <c r="AS41" s="61" t="str">
        <f t="shared" si="62"/>
        <v>54.7799632960451+653.423016946568i</v>
      </c>
      <c r="AT41" s="67">
        <f t="shared" si="63"/>
        <v>56.334305626967833</v>
      </c>
      <c r="AU41" s="64">
        <f t="shared" si="64"/>
        <v>85.207793039878354</v>
      </c>
    </row>
    <row r="42" spans="1:48" s="32" customFormat="1" x14ac:dyDescent="0.25">
      <c r="B42" s="30"/>
      <c r="K42"/>
      <c r="N42" s="11">
        <v>24</v>
      </c>
      <c r="O42" s="53">
        <f t="shared" si="41"/>
        <v>17.378008287493756</v>
      </c>
      <c r="P42" s="51" t="str">
        <f t="shared" si="32"/>
        <v>122.692307692308</v>
      </c>
      <c r="Q42" s="18" t="str">
        <f t="shared" si="33"/>
        <v>1+0.111918977498527i</v>
      </c>
      <c r="R42" s="18">
        <f t="shared" si="42"/>
        <v>1.0062434385000063</v>
      </c>
      <c r="S42" s="18">
        <f t="shared" si="43"/>
        <v>0.11145516461057008</v>
      </c>
      <c r="T42" s="18" t="str">
        <f t="shared" si="34"/>
        <v>1+0.0000223837954997054i</v>
      </c>
      <c r="U42" s="18">
        <f t="shared" si="44"/>
        <v>1.0000000002505172</v>
      </c>
      <c r="V42" s="18">
        <f t="shared" si="45"/>
        <v>2.2383795495967051E-5</v>
      </c>
      <c r="W42" s="32" t="str">
        <f t="shared" si="35"/>
        <v>1-0.00106030879710356i</v>
      </c>
      <c r="X42" s="18">
        <f t="shared" si="46"/>
        <v>1.0000005621272146</v>
      </c>
      <c r="Y42" s="18">
        <f t="shared" si="47"/>
        <v>-1.0603083997514293E-3</v>
      </c>
      <c r="Z42" s="32" t="str">
        <f t="shared" si="36"/>
        <v>0.999999990138933+0.000113147776478492i</v>
      </c>
      <c r="AA42" s="18">
        <f t="shared" si="48"/>
        <v>0.99999999654014271</v>
      </c>
      <c r="AB42" s="18">
        <f t="shared" si="49"/>
        <v>1.131477771113947E-4</v>
      </c>
      <c r="AC42" s="69" t="str">
        <f t="shared" si="50"/>
        <v>121.158871010212-13.7012047338546i</v>
      </c>
      <c r="AD42" s="67">
        <f t="shared" si="51"/>
        <v>41.722290387669275</v>
      </c>
      <c r="AE42" s="64">
        <f t="shared" si="52"/>
        <v>-6.4518621264879386</v>
      </c>
      <c r="AF42" s="32" t="str">
        <f t="shared" si="37"/>
        <v>-0.0000198412698412698</v>
      </c>
      <c r="AG42" s="32" t="str">
        <f t="shared" si="38"/>
        <v>3.77794792336489E-06i</v>
      </c>
      <c r="AH42" s="32">
        <f t="shared" si="53"/>
        <v>3.7779479233648901E-6</v>
      </c>
      <c r="AI42" s="32">
        <f t="shared" si="54"/>
        <v>1.5707963267948966</v>
      </c>
      <c r="AJ42" s="32" t="str">
        <f t="shared" si="39"/>
        <v>1+0.00131133129095806i</v>
      </c>
      <c r="AK42" s="32">
        <f t="shared" si="55"/>
        <v>1.0000008597945076</v>
      </c>
      <c r="AL42" s="32">
        <f t="shared" si="56"/>
        <v>1.3113305393082177E-3</v>
      </c>
      <c r="AM42" s="32" t="str">
        <f t="shared" si="40"/>
        <v>1+0.0283575391669682i</v>
      </c>
      <c r="AN42" s="32">
        <f t="shared" si="57"/>
        <v>1.0004019942141289</v>
      </c>
      <c r="AO42" s="32">
        <f t="shared" si="58"/>
        <v>2.8349941593750021E-2</v>
      </c>
      <c r="AP42" s="61" t="str">
        <f t="shared" si="59"/>
        <v>-0.14204276944857+5.25205056917557i</v>
      </c>
      <c r="AQ42" s="52">
        <f t="shared" si="60"/>
        <v>14.409753435744712</v>
      </c>
      <c r="AR42" s="64">
        <f t="shared" si="61"/>
        <v>91.549198297315272</v>
      </c>
      <c r="AS42" s="61" t="str">
        <f t="shared" si="62"/>
        <v>54.7496785392795+638.278674515032i</v>
      </c>
      <c r="AT42" s="67">
        <f t="shared" si="63"/>
        <v>56.132043823413994</v>
      </c>
      <c r="AU42" s="64">
        <f t="shared" si="64"/>
        <v>85.097336170827347</v>
      </c>
      <c r="AV42"/>
    </row>
    <row r="43" spans="1:48" s="32" customFormat="1" x14ac:dyDescent="0.25">
      <c r="A43"/>
      <c r="B43" s="1"/>
      <c r="C43"/>
      <c r="D43"/>
      <c r="E43"/>
      <c r="F43"/>
      <c r="G43"/>
      <c r="N43" s="11">
        <v>25</v>
      </c>
      <c r="O43" s="53">
        <f t="shared" si="41"/>
        <v>17.782794100389236</v>
      </c>
      <c r="P43" s="51" t="str">
        <f t="shared" si="32"/>
        <v>122.692307692308</v>
      </c>
      <c r="Q43" s="18" t="str">
        <f t="shared" si="33"/>
        <v>1+0.114525905377469i</v>
      </c>
      <c r="R43" s="18">
        <f t="shared" si="42"/>
        <v>1.0065367271006702</v>
      </c>
      <c r="S43" s="18">
        <f t="shared" si="43"/>
        <v>0.11402909506424762</v>
      </c>
      <c r="T43" s="18" t="str">
        <f t="shared" si="34"/>
        <v>1+0.0000229051810754938i</v>
      </c>
      <c r="U43" s="18">
        <f t="shared" si="44"/>
        <v>1.0000000002623235</v>
      </c>
      <c r="V43" s="18">
        <f t="shared" si="45"/>
        <v>2.2905181071488087E-5</v>
      </c>
      <c r="W43" s="32" t="str">
        <f t="shared" si="35"/>
        <v>1-0.0010850065617297i</v>
      </c>
      <c r="X43" s="18">
        <f t="shared" si="46"/>
        <v>1.0000005886194463</v>
      </c>
      <c r="Y43" s="18">
        <f t="shared" si="47"/>
        <v>-1.0850061359592344E-3</v>
      </c>
      <c r="Z43" s="32" t="str">
        <f t="shared" si="36"/>
        <v>0.999999989674195+0.000115783326762589i</v>
      </c>
      <c r="AA43" s="18">
        <f t="shared" si="48"/>
        <v>0.99999999637708425</v>
      </c>
      <c r="AB43" s="18">
        <f t="shared" si="49"/>
        <v>1.157833274407565E-4</v>
      </c>
      <c r="AC43" s="69" t="str">
        <f t="shared" si="50"/>
        <v>121.087537982897-14.012177310423i</v>
      </c>
      <c r="AD43" s="67">
        <f t="shared" si="51"/>
        <v>41.719759322060035</v>
      </c>
      <c r="AE43" s="64">
        <f t="shared" si="52"/>
        <v>-6.6008736870096483</v>
      </c>
      <c r="AF43" s="32" t="str">
        <f t="shared" si="37"/>
        <v>-0.0000198412698412698</v>
      </c>
      <c r="AG43" s="32" t="str">
        <f t="shared" si="38"/>
        <v>3.86594763518093E-06i</v>
      </c>
      <c r="AH43" s="32">
        <f t="shared" si="53"/>
        <v>3.8659476351809303E-6</v>
      </c>
      <c r="AI43" s="32">
        <f t="shared" si="54"/>
        <v>1.5707963267948966</v>
      </c>
      <c r="AJ43" s="32" t="str">
        <f t="shared" si="39"/>
        <v>1+0.00134187612059586i</v>
      </c>
      <c r="AK43" s="32">
        <f t="shared" si="55"/>
        <v>1.0000009003153563</v>
      </c>
      <c r="AL43" s="32">
        <f t="shared" si="56"/>
        <v>1.3418753151885827E-3</v>
      </c>
      <c r="AM43" s="32" t="str">
        <f t="shared" si="40"/>
        <v>1+0.0290180711078854i</v>
      </c>
      <c r="AN43" s="32">
        <f t="shared" si="57"/>
        <v>1.000420935632008</v>
      </c>
      <c r="AO43" s="32">
        <f t="shared" si="58"/>
        <v>2.9009930346498326E-2</v>
      </c>
      <c r="AP43" s="61" t="str">
        <f t="shared" si="59"/>
        <v>-0.142042757937193+5.1325078811092i</v>
      </c>
      <c r="AQ43" s="52">
        <f t="shared" si="60"/>
        <v>14.20991753918303</v>
      </c>
      <c r="AR43" s="64">
        <f t="shared" si="61"/>
        <v>91.585262780629748</v>
      </c>
      <c r="AS43" s="61" t="str">
        <f t="shared" si="62"/>
        <v>54.7180026303303+623.473071311206i</v>
      </c>
      <c r="AT43" s="67">
        <f t="shared" si="63"/>
        <v>55.929676861243067</v>
      </c>
      <c r="AU43" s="64">
        <f t="shared" si="64"/>
        <v>84.984389093620109</v>
      </c>
      <c r="AV43"/>
    </row>
    <row r="44" spans="1:48" s="32" customFormat="1" x14ac:dyDescent="0.25">
      <c r="A44" s="32" t="s">
        <v>253</v>
      </c>
      <c r="B44" s="1">
        <f>(Isl*(Rsl_int+R_sl)*Fsw)</f>
        <v>17776.5</v>
      </c>
      <c r="C44" s="32" t="s">
        <v>183</v>
      </c>
      <c r="E44" s="32" t="s">
        <v>254</v>
      </c>
      <c r="N44" s="11">
        <v>26</v>
      </c>
      <c r="O44" s="53">
        <f t="shared" si="41"/>
        <v>18.197008586099841</v>
      </c>
      <c r="P44" s="51" t="str">
        <f t="shared" si="32"/>
        <v>122.692307692308</v>
      </c>
      <c r="Q44" s="18" t="str">
        <f t="shared" si="33"/>
        <v>1+0.117193556407373i</v>
      </c>
      <c r="R44" s="18">
        <f t="shared" si="42"/>
        <v>1.006843746399315</v>
      </c>
      <c r="S44" s="18">
        <f t="shared" si="43"/>
        <v>0.11666140979888298</v>
      </c>
      <c r="T44" s="18" t="str">
        <f t="shared" si="34"/>
        <v>1+0.0000234387112814746i</v>
      </c>
      <c r="U44" s="18">
        <f t="shared" si="44"/>
        <v>1.0000000002746865</v>
      </c>
      <c r="V44" s="18">
        <f t="shared" si="45"/>
        <v>2.3438711277182401E-5</v>
      </c>
      <c r="W44" s="32" t="str">
        <f t="shared" si="35"/>
        <v>1-0.00111027961119664i</v>
      </c>
      <c r="X44" s="18">
        <f t="shared" si="46"/>
        <v>1.0000006163602175</v>
      </c>
      <c r="Y44" s="18">
        <f t="shared" si="47"/>
        <v>-1.1102791549753817E-3</v>
      </c>
      <c r="Z44" s="32" t="str">
        <f t="shared" si="36"/>
        <v>0.999999989187555+0.00011848026689911i</v>
      </c>
      <c r="AA44" s="18">
        <f t="shared" si="48"/>
        <v>0.99999999620634172</v>
      </c>
      <c r="AB44" s="18">
        <f t="shared" si="49"/>
        <v>1.1848026762577955E-4</v>
      </c>
      <c r="AC44" s="69" t="str">
        <f t="shared" si="50"/>
        <v>121.012932177265-14.3298195286633i</v>
      </c>
      <c r="AD44" s="67">
        <f t="shared" si="51"/>
        <v>41.717110551363845</v>
      </c>
      <c r="AE44" s="64">
        <f t="shared" si="52"/>
        <v>-6.7532662032407282</v>
      </c>
      <c r="AF44" s="32" t="str">
        <f t="shared" si="37"/>
        <v>-0.0000198412698412698</v>
      </c>
      <c r="AG44" s="32" t="str">
        <f t="shared" si="38"/>
        <v>3.95599712360499E-06i</v>
      </c>
      <c r="AH44" s="32">
        <f t="shared" si="53"/>
        <v>3.9559971236049896E-6</v>
      </c>
      <c r="AI44" s="32">
        <f t="shared" si="54"/>
        <v>1.5707963267948966</v>
      </c>
      <c r="AJ44" s="32" t="str">
        <f t="shared" si="39"/>
        <v>1+0.00137313243071463i</v>
      </c>
      <c r="AK44" s="32">
        <f t="shared" si="55"/>
        <v>1.0000009427458918</v>
      </c>
      <c r="AL44" s="32">
        <f t="shared" si="56"/>
        <v>1.3731315677052275E-3</v>
      </c>
      <c r="AM44" s="32" t="str">
        <f t="shared" si="40"/>
        <v>1+0.0296939888142038i</v>
      </c>
      <c r="AN44" s="32">
        <f t="shared" si="57"/>
        <v>1.0004407693470405</v>
      </c>
      <c r="AO44" s="32">
        <f t="shared" si="58"/>
        <v>2.9685266038767973E-2</v>
      </c>
      <c r="AP44" s="61" t="str">
        <f t="shared" si="59"/>
        <v>-0.142042745883304+5.01568651665676i</v>
      </c>
      <c r="AQ44" s="52">
        <f t="shared" si="60"/>
        <v>14.01008936990387</v>
      </c>
      <c r="AR44" s="64">
        <f t="shared" si="61"/>
        <v>91.622165814198738</v>
      </c>
      <c r="AS44" s="61" t="str">
        <f t="shared" si="62"/>
        <v>54.6848734221925+608.998379176471i</v>
      </c>
      <c r="AT44" s="67">
        <f t="shared" si="63"/>
        <v>55.727199921267719</v>
      </c>
      <c r="AU44" s="64">
        <f t="shared" si="64"/>
        <v>84.86889961095801</v>
      </c>
      <c r="AV44"/>
    </row>
    <row r="45" spans="1:48" x14ac:dyDescent="0.25">
      <c r="A45" s="32" t="s">
        <v>256</v>
      </c>
      <c r="B45" s="1">
        <f>(R_cs*VIN_var*Acs)/Lm</f>
        <v>6085.1063829787236</v>
      </c>
      <c r="C45" s="32" t="s">
        <v>183</v>
      </c>
      <c r="D45" s="32"/>
      <c r="E45" s="32" t="s">
        <v>255</v>
      </c>
      <c r="F45" s="32"/>
      <c r="G45" s="32"/>
      <c r="N45" s="11">
        <v>27</v>
      </c>
      <c r="O45" s="53">
        <f t="shared" si="41"/>
        <v>18.62087136662868</v>
      </c>
      <c r="P45" s="51" t="str">
        <f t="shared" si="32"/>
        <v>122.692307692308</v>
      </c>
      <c r="Q45" s="18" t="str">
        <f t="shared" si="33"/>
        <v>1+0.119923345012124i</v>
      </c>
      <c r="R45" s="18">
        <f t="shared" si="42"/>
        <v>1.0071651347613741</v>
      </c>
      <c r="S45" s="18">
        <f t="shared" si="43"/>
        <v>0.11935335850764713</v>
      </c>
      <c r="T45" s="18" t="str">
        <f t="shared" si="34"/>
        <v>1+0.0000239846690024248i</v>
      </c>
      <c r="U45" s="18">
        <f t="shared" si="44"/>
        <v>1.0000000002876321</v>
      </c>
      <c r="V45" s="18">
        <f t="shared" si="45"/>
        <v>2.3984668997825625E-5</v>
      </c>
      <c r="W45" s="32" t="str">
        <f t="shared" si="35"/>
        <v>1-0.00113614134560973i</v>
      </c>
      <c r="X45" s="18">
        <f t="shared" si="46"/>
        <v>1.0000006454083703</v>
      </c>
      <c r="Y45" s="18">
        <f t="shared" si="47"/>
        <v>-1.1361408567598613E-3</v>
      </c>
      <c r="Z45" s="32" t="str">
        <f t="shared" si="36"/>
        <v>0.99999998867798+0.000121240026841413i</v>
      </c>
      <c r="AA45" s="18">
        <f t="shared" si="48"/>
        <v>0.99999999602755196</v>
      </c>
      <c r="AB45" s="18">
        <f t="shared" si="49"/>
        <v>1.2124002762005347E-4</v>
      </c>
      <c r="AC45" s="69" t="str">
        <f t="shared" si="50"/>
        <v>120.934907764185-14.6542469557227i</v>
      </c>
      <c r="AD45" s="67">
        <f t="shared" si="51"/>
        <v>41.71433867866719</v>
      </c>
      <c r="AE45" s="64">
        <f t="shared" si="52"/>
        <v>-6.9091121108088327</v>
      </c>
      <c r="AF45" s="32" t="str">
        <f t="shared" si="37"/>
        <v>-0.0000198412698412698</v>
      </c>
      <c r="AG45" s="32" t="str">
        <f t="shared" si="38"/>
        <v>4.04814413406781E-06i</v>
      </c>
      <c r="AH45" s="32">
        <f t="shared" si="53"/>
        <v>4.0481441340678097E-6</v>
      </c>
      <c r="AI45" s="32">
        <f t="shared" si="54"/>
        <v>1.5707963267948966</v>
      </c>
      <c r="AJ45" s="32" t="str">
        <f t="shared" si="39"/>
        <v>1+0.00140511679382371i</v>
      </c>
      <c r="AK45" s="32">
        <f t="shared" si="55"/>
        <v>1.0000009871761149</v>
      </c>
      <c r="AL45" s="32">
        <f t="shared" si="56"/>
        <v>1.405115869092524E-3</v>
      </c>
      <c r="AM45" s="32" t="str">
        <f t="shared" si="40"/>
        <v>1+0.0303856506664378i</v>
      </c>
      <c r="AN45" s="32">
        <f t="shared" si="57"/>
        <v>1.0004615373748371</v>
      </c>
      <c r="AO45" s="32">
        <f t="shared" si="58"/>
        <v>3.0376304277024219E-2</v>
      </c>
      <c r="AP45" s="61" t="str">
        <f t="shared" si="59"/>
        <v>-0.142042733261335+4.90152453558431i</v>
      </c>
      <c r="AQ45" s="52">
        <f t="shared" si="60"/>
        <v>13.81026929143934</v>
      </c>
      <c r="AR45" s="64">
        <f t="shared" si="61"/>
        <v>91.659926823252817</v>
      </c>
      <c r="AS45" s="61" t="str">
        <f t="shared" si="62"/>
        <v>54.6502261584542+594.846946906256i</v>
      </c>
      <c r="AT45" s="67">
        <f t="shared" si="63"/>
        <v>55.524607970106537</v>
      </c>
      <c r="AU45" s="64">
        <f t="shared" si="64"/>
        <v>84.750814712443997</v>
      </c>
    </row>
    <row r="46" spans="1:48" x14ac:dyDescent="0.25">
      <c r="B46" s="1"/>
      <c r="K46" s="32"/>
      <c r="N46" s="11">
        <v>28</v>
      </c>
      <c r="O46" s="53">
        <f t="shared" si="41"/>
        <v>19.054607179632477</v>
      </c>
      <c r="P46" s="51" t="str">
        <f t="shared" si="32"/>
        <v>122.692307692308</v>
      </c>
      <c r="Q46" s="18" t="str">
        <f t="shared" si="33"/>
        <v>1+0.122716718561774i</v>
      </c>
      <c r="R46" s="18">
        <f t="shared" si="42"/>
        <v>1.0075015598075121</v>
      </c>
      <c r="S46" s="18">
        <f t="shared" si="43"/>
        <v>0.12210621235383885</v>
      </c>
      <c r="T46" s="18" t="str">
        <f t="shared" si="34"/>
        <v>1+0.0000245433437123547i</v>
      </c>
      <c r="U46" s="18">
        <f t="shared" si="44"/>
        <v>1.000000000301188</v>
      </c>
      <c r="V46" s="18">
        <f t="shared" si="45"/>
        <v>2.4543343707426593E-5</v>
      </c>
      <c r="W46" s="32" t="str">
        <f t="shared" si="35"/>
        <v>1-0.00116260547720286i</v>
      </c>
      <c r="X46" s="18">
        <f t="shared" si="46"/>
        <v>1.0000006758255195</v>
      </c>
      <c r="Y46" s="18">
        <f t="shared" si="47"/>
        <v>-1.1626049533908075E-3</v>
      </c>
      <c r="Z46" s="32" t="str">
        <f t="shared" si="36"/>
        <v>0.99999998814439+0.000124064069850748i</v>
      </c>
      <c r="AA46" s="18">
        <f t="shared" si="48"/>
        <v>0.99999999584033661</v>
      </c>
      <c r="AB46" s="18">
        <f t="shared" si="49"/>
        <v>1.2406407068507626E-4</v>
      </c>
      <c r="AC46" s="69" t="str">
        <f t="shared" si="50"/>
        <v>120.853312827448-14.985575154058i</v>
      </c>
      <c r="AD46" s="67">
        <f t="shared" si="51"/>
        <v>41.71143806690516</v>
      </c>
      <c r="AE46" s="64">
        <f t="shared" si="52"/>
        <v>-7.0684850949033331</v>
      </c>
      <c r="AF46" s="32" t="str">
        <f t="shared" si="37"/>
        <v>-0.0000198412698412698</v>
      </c>
      <c r="AG46" s="32" t="str">
        <f t="shared" si="38"/>
        <v>4.14243752413403E-06i</v>
      </c>
      <c r="AH46" s="32">
        <f t="shared" si="53"/>
        <v>4.1424375241340299E-6</v>
      </c>
      <c r="AI46" s="32">
        <f t="shared" si="54"/>
        <v>1.5707963267948966</v>
      </c>
      <c r="AJ46" s="32" t="str">
        <f t="shared" si="39"/>
        <v>1+0.00143784616845581i</v>
      </c>
      <c r="AK46" s="32">
        <f t="shared" si="55"/>
        <v>1.0000010337002678</v>
      </c>
      <c r="AL46" s="32">
        <f t="shared" si="56"/>
        <v>1.4378451775885475E-3</v>
      </c>
      <c r="AM46" s="32" t="str">
        <f t="shared" si="40"/>
        <v>1+0.0310934233928568i</v>
      </c>
      <c r="AN46" s="32">
        <f t="shared" si="57"/>
        <v>1.0004832837075728</v>
      </c>
      <c r="AO46" s="32">
        <f t="shared" si="58"/>
        <v>3.1083408817424531E-2</v>
      </c>
      <c r="AP46" s="61" t="str">
        <f t="shared" si="59"/>
        <v>-0.142042720044513+4.78996140769832i</v>
      </c>
      <c r="AQ46" s="52">
        <f t="shared" si="60"/>
        <v>13.610457684392562</v>
      </c>
      <c r="AR46" s="64">
        <f t="shared" si="61"/>
        <v>91.698565677849089</v>
      </c>
      <c r="AS46" s="61" t="str">
        <f t="shared" si="62"/>
        <v>54.6139933796995+581.011296292282i</v>
      </c>
      <c r="AT46" s="67">
        <f t="shared" si="63"/>
        <v>55.321895751297717</v>
      </c>
      <c r="AU46" s="64">
        <f t="shared" si="64"/>
        <v>84.630080582945752</v>
      </c>
    </row>
    <row r="47" spans="1:48" x14ac:dyDescent="0.25">
      <c r="A47" t="s">
        <v>251</v>
      </c>
      <c r="B47" s="1">
        <f>2*PI()*Fsw</f>
        <v>2199114.857512855</v>
      </c>
      <c r="C47" t="s">
        <v>257</v>
      </c>
      <c r="N47" s="11">
        <v>29</v>
      </c>
      <c r="O47" s="53">
        <f t="shared" si="41"/>
        <v>19.498445997580465</v>
      </c>
      <c r="P47" s="51" t="str">
        <f t="shared" si="32"/>
        <v>122.692307692308</v>
      </c>
      <c r="Q47" s="18" t="str">
        <f t="shared" si="33"/>
        <v>1+0.125575158139953i</v>
      </c>
      <c r="R47" s="18">
        <f t="shared" si="42"/>
        <v>1.0078537197142621</v>
      </c>
      <c r="S47" s="18">
        <f t="shared" si="43"/>
        <v>0.12492126395394293</v>
      </c>
      <c r="T47" s="18" t="str">
        <f t="shared" si="34"/>
        <v>1+0.0000251150316279906i</v>
      </c>
      <c r="U47" s="18">
        <f t="shared" si="44"/>
        <v>1.0000000003153824</v>
      </c>
      <c r="V47" s="18">
        <f t="shared" si="45"/>
        <v>2.5115031622710041E-5</v>
      </c>
      <c r="W47" s="32" t="str">
        <f t="shared" si="35"/>
        <v>1-0.00118968603760891i</v>
      </c>
      <c r="X47" s="18">
        <f t="shared" si="46"/>
        <v>1.0000007076761837</v>
      </c>
      <c r="Y47" s="18">
        <f t="shared" si="47"/>
        <v>-1.1896854763342049E-3</v>
      </c>
      <c r="Z47" s="32" t="str">
        <f t="shared" si="36"/>
        <v>0.999999987585652+0.000126953893272101i</v>
      </c>
      <c r="AA47" s="18">
        <f t="shared" si="48"/>
        <v>0.99999999564429765</v>
      </c>
      <c r="AB47" s="18">
        <f t="shared" si="49"/>
        <v>1.2695389416609988E-4</v>
      </c>
      <c r="AC47" s="69" t="str">
        <f t="shared" si="50"/>
        <v>120.767989148948-15.3239195060267i</v>
      </c>
      <c r="AD47" s="67">
        <f t="shared" si="51"/>
        <v>41.708402828868564</v>
      </c>
      <c r="AE47" s="64">
        <f t="shared" si="52"/>
        <v>-7.2314600897567782</v>
      </c>
      <c r="AF47" s="32" t="str">
        <f t="shared" si="37"/>
        <v>-0.0000198412698412698</v>
      </c>
      <c r="AG47" s="32" t="str">
        <f t="shared" si="38"/>
        <v>4.23892728940719E-06i</v>
      </c>
      <c r="AH47" s="32">
        <f t="shared" si="53"/>
        <v>4.2389272894071903E-6</v>
      </c>
      <c r="AI47" s="32">
        <f t="shared" si="54"/>
        <v>1.5707963267948966</v>
      </c>
      <c r="AJ47" s="32" t="str">
        <f t="shared" si="39"/>
        <v>1+0.00147133790815856i</v>
      </c>
      <c r="AK47" s="32">
        <f t="shared" si="55"/>
        <v>1.0000010824170342</v>
      </c>
      <c r="AL47" s="32">
        <f t="shared" si="56"/>
        <v>1.4713368464252211E-3</v>
      </c>
      <c r="AM47" s="32" t="str">
        <f t="shared" si="40"/>
        <v>1+0.0318176822639289i</v>
      </c>
      <c r="AN47" s="32">
        <f t="shared" si="57"/>
        <v>1.0005060544067927</v>
      </c>
      <c r="AO47" s="32">
        <f t="shared" si="58"/>
        <v>3.180695174613786E-2</v>
      </c>
      <c r="AP47" s="61" t="str">
        <f t="shared" si="59"/>
        <v>-0.142042706204805+4.68093798075152i</v>
      </c>
      <c r="AQ47" s="52">
        <f t="shared" si="60"/>
        <v>13.410654947235805</v>
      </c>
      <c r="AR47" s="64">
        <f t="shared" si="61"/>
        <v>91.738102702687712</v>
      </c>
      <c r="AS47" s="61" t="str">
        <f t="shared" si="62"/>
        <v>54.5761048281104+567.484118262599i</v>
      </c>
      <c r="AT47" s="67">
        <f t="shared" si="63"/>
        <v>55.11905777610437</v>
      </c>
      <c r="AU47" s="64">
        <f t="shared" si="64"/>
        <v>84.506642612930946</v>
      </c>
    </row>
    <row r="48" spans="1:48" x14ac:dyDescent="0.25">
      <c r="A48" t="s">
        <v>252</v>
      </c>
      <c r="B48" s="1">
        <f>1/(PI()*(((VIN_var/VOUT)*(1+(B44/B45)))-0.5))</f>
        <v>0.87763902739035249</v>
      </c>
      <c r="K48" s="32"/>
      <c r="N48" s="11">
        <v>30</v>
      </c>
      <c r="O48" s="53">
        <f t="shared" si="41"/>
        <v>19.952623149688804</v>
      </c>
      <c r="P48" s="51" t="str">
        <f t="shared" si="32"/>
        <v>122.692307692308</v>
      </c>
      <c r="Q48" s="18" t="str">
        <f t="shared" si="33"/>
        <v>1+0.128500179329161i</v>
      </c>
      <c r="R48" s="18">
        <f t="shared" si="42"/>
        <v>1.00822234456871</v>
      </c>
      <c r="S48" s="18">
        <f t="shared" si="43"/>
        <v>0.12779982732676837</v>
      </c>
      <c r="T48" s="18" t="str">
        <f t="shared" si="34"/>
        <v>1+0.0000257000358658323i</v>
      </c>
      <c r="U48" s="18">
        <f t="shared" si="44"/>
        <v>1.0000000003302458</v>
      </c>
      <c r="V48" s="18">
        <f t="shared" si="45"/>
        <v>2.5700035860174078E-5</v>
      </c>
      <c r="W48" s="32" t="str">
        <f t="shared" si="35"/>
        <v>1-0.00121739738529946i</v>
      </c>
      <c r="X48" s="18">
        <f t="shared" si="46"/>
        <v>1.0000007410279224</v>
      </c>
      <c r="Y48" s="18">
        <f t="shared" si="47"/>
        <v>-1.2173967838828019E-3</v>
      </c>
      <c r="Z48" s="32" t="str">
        <f t="shared" si="36"/>
        <v>0.999999987000582+0.0001299110293281i</v>
      </c>
      <c r="AA48" s="18">
        <f t="shared" si="48"/>
        <v>0.99999999543901985</v>
      </c>
      <c r="AB48" s="18">
        <f t="shared" si="49"/>
        <v>1.2991103028603702E-4</v>
      </c>
      <c r="AC48" s="69" t="str">
        <f t="shared" si="50"/>
        <v>120.678771990153-15.6693950238906i</v>
      </c>
      <c r="AD48" s="67">
        <f t="shared" si="51"/>
        <v>41.705226816861185</v>
      </c>
      <c r="AE48" s="64">
        <f t="shared" si="52"/>
        <v>-7.3981132761933015</v>
      </c>
      <c r="AF48" s="32" t="str">
        <f t="shared" si="37"/>
        <v>-0.0000198412698412698</v>
      </c>
      <c r="AG48" s="32" t="str">
        <f t="shared" si="38"/>
        <v>4.33766459003803E-06i</v>
      </c>
      <c r="AH48" s="32">
        <f t="shared" si="53"/>
        <v>4.3376645900380297E-6</v>
      </c>
      <c r="AI48" s="32">
        <f t="shared" si="54"/>
        <v>1.5707963267948966</v>
      </c>
      <c r="AJ48" s="32" t="str">
        <f t="shared" si="39"/>
        <v>1+0.00150560977069568i</v>
      </c>
      <c r="AK48" s="32">
        <f t="shared" si="55"/>
        <v>1.0000011334297485</v>
      </c>
      <c r="AL48" s="32">
        <f t="shared" si="56"/>
        <v>1.5056086330279802E-3</v>
      </c>
      <c r="AM48" s="32" t="str">
        <f t="shared" si="40"/>
        <v>1+0.0325588112912942i</v>
      </c>
      <c r="AN48" s="32">
        <f t="shared" si="57"/>
        <v>1.0005298977005646</v>
      </c>
      <c r="AO48" s="32">
        <f t="shared" si="58"/>
        <v>3.2547313663188263E-2</v>
      </c>
      <c r="AP48" s="61" t="str">
        <f t="shared" si="59"/>
        <v>-0.142042691712854+4.57439644907975i</v>
      </c>
      <c r="AQ48" s="52">
        <f t="shared" si="60"/>
        <v>13.210861497146402</v>
      </c>
      <c r="AR48" s="64">
        <f t="shared" si="61"/>
        <v>91.778558687118192</v>
      </c>
      <c r="AS48" s="61" t="str">
        <f t="shared" si="62"/>
        <v>54.53648735043+554.258269117766i</v>
      </c>
      <c r="AT48" s="67">
        <f t="shared" si="63"/>
        <v>54.916088314007581</v>
      </c>
      <c r="AU48" s="64">
        <f t="shared" si="64"/>
        <v>84.380445410924906</v>
      </c>
    </row>
    <row r="49" spans="1:48" x14ac:dyDescent="0.25">
      <c r="K49" s="32"/>
      <c r="N49" s="11">
        <v>31</v>
      </c>
      <c r="O49" s="53">
        <f t="shared" si="41"/>
        <v>20.4173794466953</v>
      </c>
      <c r="P49" s="51" t="str">
        <f t="shared" si="32"/>
        <v>122.692307692308</v>
      </c>
      <c r="Q49" s="18" t="str">
        <f t="shared" si="33"/>
        <v>1+0.131493333014351i</v>
      </c>
      <c r="R49" s="18">
        <f t="shared" si="42"/>
        <v>1.0086081977791093</v>
      </c>
      <c r="S49" s="18">
        <f t="shared" si="43"/>
        <v>0.13074323780587122</v>
      </c>
      <c r="T49" s="18" t="str">
        <f t="shared" si="34"/>
        <v>1+0.0000262986666028702i</v>
      </c>
      <c r="U49" s="18">
        <f t="shared" si="44"/>
        <v>1.0000000003458098</v>
      </c>
      <c r="V49" s="18">
        <f t="shared" si="45"/>
        <v>2.6298666596807309E-5</v>
      </c>
      <c r="W49" s="32" t="str">
        <f t="shared" si="35"/>
        <v>1-0.00124575421319784i</v>
      </c>
      <c r="X49" s="18">
        <f t="shared" si="46"/>
        <v>1.0000007759514788</v>
      </c>
      <c r="Y49" s="18">
        <f t="shared" si="47"/>
        <v>-1.2457535687683075E-3</v>
      </c>
      <c r="Z49" s="32" t="str">
        <f t="shared" si="36"/>
        <v>0.999999986387939+0.000132937045931424i</v>
      </c>
      <c r="AA49" s="18">
        <f t="shared" si="48"/>
        <v>0.99999999522406824</v>
      </c>
      <c r="AB49" s="18">
        <f t="shared" si="49"/>
        <v>1.3293704695787191E-4</v>
      </c>
      <c r="AC49" s="69" t="str">
        <f t="shared" si="50"/>
        <v>120.585489870241-16.022116144372i</v>
      </c>
      <c r="AD49" s="67">
        <f t="shared" si="51"/>
        <v>41.701903612002049</v>
      </c>
      <c r="AE49" s="64">
        <f t="shared" si="52"/>
        <v>-7.5685220770842845</v>
      </c>
      <c r="AF49" s="32" t="str">
        <f t="shared" si="37"/>
        <v>-0.0000198412698412698</v>
      </c>
      <c r="AG49" s="32" t="str">
        <f t="shared" si="38"/>
        <v>4.43870177785029E-06i</v>
      </c>
      <c r="AH49" s="32">
        <f t="shared" si="53"/>
        <v>4.4387017778502902E-6</v>
      </c>
      <c r="AI49" s="32">
        <f t="shared" si="54"/>
        <v>1.5707963267948966</v>
      </c>
      <c r="AJ49" s="32" t="str">
        <f t="shared" si="39"/>
        <v>1+0.00154067992746232i</v>
      </c>
      <c r="AK49" s="32">
        <f t="shared" si="55"/>
        <v>1.0000011868466152</v>
      </c>
      <c r="AL49" s="32">
        <f t="shared" si="56"/>
        <v>1.5406787084294947E-3</v>
      </c>
      <c r="AM49" s="32" t="str">
        <f t="shared" si="40"/>
        <v>1+0.0333172034313727i</v>
      </c>
      <c r="AN49" s="32">
        <f t="shared" si="57"/>
        <v>1.0005548640851674</v>
      </c>
      <c r="AO49" s="32">
        <f t="shared" si="58"/>
        <v>3.3304883869856666E-2</v>
      </c>
      <c r="AP49" s="61" t="str">
        <f t="shared" si="59"/>
        <v>-0.142042676537921+4.47028032295251i</v>
      </c>
      <c r="AQ49" s="52">
        <f t="shared" si="60"/>
        <v>13.011077770880862</v>
      </c>
      <c r="AR49" s="64">
        <f t="shared" si="61"/>
        <v>91.819954895337446</v>
      </c>
      <c r="AS49" s="61" t="str">
        <f t="shared" si="62"/>
        <v>54.4950647994405+541.326766861476i</v>
      </c>
      <c r="AT49" s="67">
        <f t="shared" si="63"/>
        <v>54.712981382882916</v>
      </c>
      <c r="AU49" s="64">
        <f t="shared" si="64"/>
        <v>84.251432818253178</v>
      </c>
    </row>
    <row r="50" spans="1:48" ht="15.75" x14ac:dyDescent="0.25">
      <c r="A50" s="54" t="s">
        <v>267</v>
      </c>
      <c r="N50" s="11">
        <v>32</v>
      </c>
      <c r="O50" s="53">
        <f t="shared" si="41"/>
        <v>20.8929613085404</v>
      </c>
      <c r="P50" s="51" t="str">
        <f t="shared" si="32"/>
        <v>122.692307692308</v>
      </c>
      <c r="Q50" s="18" t="str">
        <f t="shared" si="33"/>
        <v>1+0.134556206205225i</v>
      </c>
      <c r="R50" s="18">
        <f t="shared" si="42"/>
        <v>1.009012077543348</v>
      </c>
      <c r="S50" s="18">
        <f t="shared" si="43"/>
        <v>0.13375285191230571</v>
      </c>
      <c r="T50" s="18" t="str">
        <f t="shared" si="34"/>
        <v>1+0.0000269112412410451i</v>
      </c>
      <c r="U50" s="18">
        <f t="shared" si="44"/>
        <v>1.0000000003621075</v>
      </c>
      <c r="V50" s="18">
        <f t="shared" si="45"/>
        <v>2.691124123454859E-5</v>
      </c>
      <c r="W50" s="32" t="str">
        <f t="shared" si="35"/>
        <v>1-0.00127477155646958i</v>
      </c>
      <c r="X50" s="18">
        <f t="shared" si="46"/>
        <v>1.0000008125209305</v>
      </c>
      <c r="Y50" s="18">
        <f t="shared" si="47"/>
        <v>-1.2747708659509251E-3</v>
      </c>
      <c r="Z50" s="32" t="str">
        <f t="shared" si="36"/>
        <v>0.999999985746422+0.000136033547516131i</v>
      </c>
      <c r="AA50" s="18">
        <f t="shared" si="48"/>
        <v>0.99999999499898506</v>
      </c>
      <c r="AB50" s="18">
        <f t="shared" si="49"/>
        <v>1.3603354861598977E-4</v>
      </c>
      <c r="AC50" s="69" t="str">
        <f t="shared" si="50"/>
        <v>120.487964341321-16.3821965068686i</v>
      </c>
      <c r="AD50" s="67">
        <f t="shared" si="51"/>
        <v>41.698426513166879</v>
      </c>
      <c r="AE50" s="64">
        <f t="shared" si="52"/>
        <v>-7.7427651505423611</v>
      </c>
      <c r="AF50" s="32" t="str">
        <f t="shared" si="37"/>
        <v>-0.0000198412698412698</v>
      </c>
      <c r="AG50" s="32" t="str">
        <f t="shared" si="38"/>
        <v>4.54209242409833E-06i</v>
      </c>
      <c r="AH50" s="32">
        <f t="shared" si="53"/>
        <v>4.5420924240983301E-6</v>
      </c>
      <c r="AI50" s="32">
        <f t="shared" si="54"/>
        <v>1.5707963267948966</v>
      </c>
      <c r="AJ50" s="32" t="str">
        <f t="shared" si="39"/>
        <v>1+0.00157656697311982i</v>
      </c>
      <c r="AK50" s="32">
        <f t="shared" si="55"/>
        <v>1.0000012427809382</v>
      </c>
      <c r="AL50" s="32">
        <f t="shared" si="56"/>
        <v>1.5765656669027017E-3</v>
      </c>
      <c r="AM50" s="32" t="str">
        <f t="shared" si="40"/>
        <v>1+0.0340932607937162i</v>
      </c>
      <c r="AN50" s="32">
        <f t="shared" si="57"/>
        <v>1.0005810064315375</v>
      </c>
      <c r="AO50" s="32">
        <f t="shared" si="58"/>
        <v>3.4080060559673817E-2</v>
      </c>
      <c r="AP50" s="61" t="str">
        <f t="shared" si="59"/>
        <v>-0.14204266064782+4.36853439862146i</v>
      </c>
      <c r="AQ50" s="52">
        <f t="shared" si="60"/>
        <v>12.811304225689975</v>
      </c>
      <c r="AR50" s="64">
        <f t="shared" si="61"/>
        <v>91.862313076780808</v>
      </c>
      <c r="AS50" s="61" t="str">
        <f t="shared" si="62"/>
        <v>54.4517579341509+528.682787624028i</v>
      </c>
      <c r="AT50" s="67">
        <f t="shared" si="63"/>
        <v>54.509730738856852</v>
      </c>
      <c r="AU50" s="64">
        <f t="shared" si="64"/>
        <v>84.119547926238468</v>
      </c>
    </row>
    <row r="51" spans="1:48" x14ac:dyDescent="0.25">
      <c r="A51" t="s">
        <v>232</v>
      </c>
      <c r="N51" s="11">
        <v>33</v>
      </c>
      <c r="O51" s="53">
        <f t="shared" si="41"/>
        <v>21.379620895022335</v>
      </c>
      <c r="P51" s="51" t="str">
        <f t="shared" si="32"/>
        <v>122.692307692308</v>
      </c>
      <c r="Q51" s="18" t="str">
        <f t="shared" si="33"/>
        <v>1+0.137690422877691i</v>
      </c>
      <c r="R51" s="18">
        <f t="shared" si="42"/>
        <v>1.0094348183772133</v>
      </c>
      <c r="S51" s="18">
        <f t="shared" si="43"/>
        <v>0.1368300471845954</v>
      </c>
      <c r="T51" s="18" t="str">
        <f t="shared" si="34"/>
        <v>1+0.0000275380845755382i</v>
      </c>
      <c r="U51" s="18">
        <f t="shared" si="44"/>
        <v>1.0000000003791729</v>
      </c>
      <c r="V51" s="18">
        <f t="shared" si="45"/>
        <v>2.7538084568577066E-5</v>
      </c>
      <c r="W51" s="32" t="str">
        <f t="shared" si="35"/>
        <v>1-0.00130446480049415i</v>
      </c>
      <c r="X51" s="18">
        <f t="shared" si="46"/>
        <v>1.0000008508138458</v>
      </c>
      <c r="Y51" s="18">
        <f t="shared" si="47"/>
        <v>-1.3044640605901149E-3</v>
      </c>
      <c r="Z51" s="32" t="str">
        <f t="shared" si="36"/>
        <v>0.999999985074671+0.000139202175888348i</v>
      </c>
      <c r="AA51" s="18">
        <f t="shared" si="48"/>
        <v>0.99999999476329393</v>
      </c>
      <c r="AB51" s="18">
        <f t="shared" si="49"/>
        <v>1.39202177066868E-4</v>
      </c>
      <c r="AC51" s="69" t="str">
        <f t="shared" si="50"/>
        <v>120.386009761243-16.7497487144038i</v>
      </c>
      <c r="AD51" s="67">
        <f t="shared" si="51"/>
        <v>41.694788525565301</v>
      </c>
      <c r="AE51" s="64">
        <f t="shared" si="52"/>
        <v>-7.9209223806748277</v>
      </c>
      <c r="AF51" s="32" t="str">
        <f t="shared" si="37"/>
        <v>-0.0000198412698412698</v>
      </c>
      <c r="AG51" s="32" t="str">
        <f t="shared" si="38"/>
        <v>4.64789134787132E-06i</v>
      </c>
      <c r="AH51" s="32">
        <f t="shared" si="53"/>
        <v>4.64789134787132E-6</v>
      </c>
      <c r="AI51" s="32">
        <f t="shared" si="54"/>
        <v>1.5707963267948966</v>
      </c>
      <c r="AJ51" s="32" t="str">
        <f t="shared" si="39"/>
        <v>1+0.00161328993545479i</v>
      </c>
      <c r="AK51" s="32">
        <f t="shared" si="55"/>
        <v>1.0000013013513611</v>
      </c>
      <c r="AL51" s="32">
        <f t="shared" si="56"/>
        <v>1.6132885358180293E-3</v>
      </c>
      <c r="AM51" s="32" t="str">
        <f t="shared" si="40"/>
        <v>1+0.0348873948542098i</v>
      </c>
      <c r="AN51" s="32">
        <f t="shared" si="57"/>
        <v>1.0006083800966856</v>
      </c>
      <c r="AO51" s="32">
        <f t="shared" si="58"/>
        <v>3.4873251013028406E-2</v>
      </c>
      <c r="AP51" s="61" t="str">
        <f t="shared" si="59"/>
        <v>-0.142042644008844+4.26910472905059i</v>
      </c>
      <c r="AQ51" s="52">
        <f t="shared" si="60"/>
        <v>12.611541340275904</v>
      </c>
      <c r="AR51" s="64">
        <f t="shared" si="61"/>
        <v>91.905655476707636</v>
      </c>
      <c r="AS51" s="61" t="str">
        <f t="shared" si="62"/>
        <v>54.4064843189089+516.319662177131i</v>
      </c>
      <c r="AT51" s="67">
        <f t="shared" si="63"/>
        <v>54.306329865841207</v>
      </c>
      <c r="AU51" s="64">
        <f t="shared" si="64"/>
        <v>83.984733096032812</v>
      </c>
    </row>
    <row r="52" spans="1:48" x14ac:dyDescent="0.25">
      <c r="A52" t="s">
        <v>230</v>
      </c>
      <c r="B52" s="3">
        <f>RFBT</f>
        <v>49900</v>
      </c>
      <c r="C52" s="2" t="s">
        <v>38</v>
      </c>
      <c r="E52" t="s">
        <v>233</v>
      </c>
      <c r="N52" s="11">
        <v>34</v>
      </c>
      <c r="O52" s="53">
        <f t="shared" si="41"/>
        <v>21.877616239495538</v>
      </c>
      <c r="P52" s="51" t="str">
        <f t="shared" si="32"/>
        <v>122.692307692308</v>
      </c>
      <c r="Q52" s="18" t="str">
        <f t="shared" si="33"/>
        <v>1+0.140897644834915i</v>
      </c>
      <c r="R52" s="18">
        <f t="shared" si="42"/>
        <v>1.0098772927044284</v>
      </c>
      <c r="S52" s="18">
        <f t="shared" si="43"/>
        <v>0.13997622196261611</v>
      </c>
      <c r="T52" s="18" t="str">
        <f t="shared" si="34"/>
        <v>1+0.000028179528966983i</v>
      </c>
      <c r="U52" s="18">
        <f t="shared" si="44"/>
        <v>1.0000000003970428</v>
      </c>
      <c r="V52" s="18">
        <f t="shared" si="45"/>
        <v>2.8179528959524012E-5</v>
      </c>
      <c r="W52" s="32" t="str">
        <f t="shared" si="35"/>
        <v>1-0.00133484968902258i</v>
      </c>
      <c r="X52" s="18">
        <f t="shared" si="46"/>
        <v>1.0000008909114493</v>
      </c>
      <c r="Y52" s="18">
        <f t="shared" si="47"/>
        <v>-1.3348488962011604E-3</v>
      </c>
      <c r="Z52" s="32" t="str">
        <f t="shared" si="36"/>
        <v>0.999999984371262+0.00014244461109678i</v>
      </c>
      <c r="AA52" s="18">
        <f t="shared" si="48"/>
        <v>0.9999999945164959</v>
      </c>
      <c r="AB52" s="18">
        <f t="shared" si="49"/>
        <v>1.4244461235958695E-4</v>
      </c>
      <c r="AC52" s="69" t="str">
        <f t="shared" si="50"/>
        <v>120.279433064555-17.12488407636i</v>
      </c>
      <c r="AD52" s="67">
        <f t="shared" si="51"/>
        <v>41.690982348949859</v>
      </c>
      <c r="AE52" s="64">
        <f t="shared" si="52"/>
        <v>-8.10307486570888</v>
      </c>
      <c r="AF52" s="32" t="str">
        <f t="shared" si="37"/>
        <v>-0.0000198412698412698</v>
      </c>
      <c r="AG52" s="32" t="str">
        <f t="shared" si="38"/>
        <v>4.75615464515907E-06i</v>
      </c>
      <c r="AH52" s="32">
        <f t="shared" si="53"/>
        <v>4.7561546451590702E-6</v>
      </c>
      <c r="AI52" s="32">
        <f t="shared" si="54"/>
        <v>1.5707963267948966</v>
      </c>
      <c r="AJ52" s="32" t="str">
        <f t="shared" si="39"/>
        <v>1+0.00165086828546796i</v>
      </c>
      <c r="AK52" s="32">
        <f t="shared" si="55"/>
        <v>1.0000013626821196</v>
      </c>
      <c r="AL52" s="32">
        <f t="shared" si="56"/>
        <v>1.650866785730261E-3</v>
      </c>
      <c r="AM52" s="32" t="str">
        <f t="shared" si="40"/>
        <v>1+0.0357000266732446i</v>
      </c>
      <c r="AN52" s="32">
        <f t="shared" si="57"/>
        <v>1.0006370430403175</v>
      </c>
      <c r="AO52" s="32">
        <f t="shared" si="58"/>
        <v>3.5684871795424358E-2</v>
      </c>
      <c r="AP52" s="61" t="str">
        <f t="shared" si="59"/>
        <v>-0.142042626585702+4.17193859531279i</v>
      </c>
      <c r="AQ52" s="52">
        <f t="shared" si="60"/>
        <v>12.41178961579373</v>
      </c>
      <c r="AR52" s="64">
        <f t="shared" si="61"/>
        <v>91.950004846982566</v>
      </c>
      <c r="AS52" s="61" t="str">
        <f t="shared" si="62"/>
        <v>54.3591582216952+504.23087253854i</v>
      </c>
      <c r="AT52" s="67">
        <f t="shared" si="63"/>
        <v>54.102771964743582</v>
      </c>
      <c r="AU52" s="64">
        <f t="shared" si="64"/>
        <v>83.846929981273689</v>
      </c>
    </row>
    <row r="53" spans="1:48" x14ac:dyDescent="0.25">
      <c r="A53" t="s">
        <v>231</v>
      </c>
      <c r="B53" s="3">
        <f>RFBB</f>
        <v>500</v>
      </c>
      <c r="C53" s="2" t="s">
        <v>38</v>
      </c>
      <c r="E53" t="s">
        <v>234</v>
      </c>
      <c r="N53" s="11">
        <v>35</v>
      </c>
      <c r="O53" s="53">
        <f t="shared" si="41"/>
        <v>22.387211385683404</v>
      </c>
      <c r="P53" s="51" t="str">
        <f t="shared" si="32"/>
        <v>122.692307692308</v>
      </c>
      <c r="Q53" s="18" t="str">
        <f t="shared" si="33"/>
        <v>1+0.144179572588431i</v>
      </c>
      <c r="R53" s="18">
        <f t="shared" si="42"/>
        <v>1.0103404125104483</v>
      </c>
      <c r="S53" s="18">
        <f t="shared" si="43"/>
        <v>0.14319279512192334</v>
      </c>
      <c r="T53" s="18" t="str">
        <f t="shared" si="34"/>
        <v>1+0.0000288359145176863i</v>
      </c>
      <c r="U53" s="18">
        <f t="shared" si="44"/>
        <v>1.000000000415755</v>
      </c>
      <c r="V53" s="18">
        <f t="shared" si="45"/>
        <v>2.8835914509693851E-5</v>
      </c>
      <c r="W53" s="32" t="str">
        <f t="shared" si="35"/>
        <v>1-0.00136594233252495i</v>
      </c>
      <c r="X53" s="18">
        <f t="shared" si="46"/>
        <v>1.0000009328987927</v>
      </c>
      <c r="Y53" s="18">
        <f t="shared" si="47"/>
        <v>-1.3659414830015362E-3</v>
      </c>
      <c r="Z53" s="32" t="str">
        <f t="shared" si="36"/>
        <v>0.999999983634703+0.000145762572323492i</v>
      </c>
      <c r="AA53" s="18">
        <f t="shared" si="48"/>
        <v>0.99999999425806674</v>
      </c>
      <c r="AB53" s="18">
        <f t="shared" si="49"/>
        <v>1.4576257367661391E-4</v>
      </c>
      <c r="AC53" s="69" t="str">
        <f t="shared" si="50"/>
        <v>120.168033532253-17.5077123320105i</v>
      </c>
      <c r="AD53" s="67">
        <f t="shared" si="51"/>
        <v>41.687000365454701</v>
      </c>
      <c r="AE53" s="64">
        <f t="shared" si="52"/>
        <v>-8.2893049032883415</v>
      </c>
      <c r="AF53" s="32" t="str">
        <f t="shared" si="37"/>
        <v>-0.0000198412698412698</v>
      </c>
      <c r="AG53" s="32" t="str">
        <f t="shared" si="38"/>
        <v>4.86693971859483E-06i</v>
      </c>
      <c r="AH53" s="32">
        <f t="shared" si="53"/>
        <v>4.86693971859483E-6</v>
      </c>
      <c r="AI53" s="32">
        <f t="shared" si="54"/>
        <v>1.5707963267948966</v>
      </c>
      <c r="AJ53" s="32" t="str">
        <f t="shared" si="39"/>
        <v>1+0.00168932194769791i</v>
      </c>
      <c r="AK53" s="32">
        <f t="shared" si="55"/>
        <v>1.0000014269033035</v>
      </c>
      <c r="AL53" s="32">
        <f t="shared" si="56"/>
        <v>1.6893203407001367E-3</v>
      </c>
      <c r="AM53" s="32" t="str">
        <f t="shared" si="40"/>
        <v>1+0.0365315871189673i</v>
      </c>
      <c r="AN53" s="32">
        <f t="shared" si="57"/>
        <v>1.0006670559468973</v>
      </c>
      <c r="AO53" s="32">
        <f t="shared" si="58"/>
        <v>3.6515348959399681E-2</v>
      </c>
      <c r="AP53" s="61" t="str">
        <f t="shared" si="59"/>
        <v>-0.142042608341438+4.07698447863767i</v>
      </c>
      <c r="AQ53" s="52">
        <f t="shared" si="60"/>
        <v>12.212049576899464</v>
      </c>
      <c r="AR53" s="64">
        <f t="shared" si="61"/>
        <v>91.995384457053291</v>
      </c>
      <c r="AS53" s="61" t="str">
        <f t="shared" si="62"/>
        <v>54.3096905118775+492.410048665137i</v>
      </c>
      <c r="AT53" s="67">
        <f t="shared" si="63"/>
        <v>53.899049942354161</v>
      </c>
      <c r="AU53" s="64">
        <f t="shared" si="64"/>
        <v>83.706079553764965</v>
      </c>
      <c r="AV53" s="32"/>
    </row>
    <row r="54" spans="1:48" x14ac:dyDescent="0.25">
      <c r="A54" t="s">
        <v>220</v>
      </c>
      <c r="B54" s="3">
        <f>RCOMP</f>
        <v>7870</v>
      </c>
      <c r="C54" s="2" t="s">
        <v>38</v>
      </c>
      <c r="E54" s="32" t="s">
        <v>227</v>
      </c>
      <c r="N54" s="11">
        <v>36</v>
      </c>
      <c r="O54" s="53">
        <f t="shared" si="41"/>
        <v>22.908676527677727</v>
      </c>
      <c r="P54" s="51" t="str">
        <f t="shared" si="32"/>
        <v>122.692307692308</v>
      </c>
      <c r="Q54" s="18" t="str">
        <f t="shared" si="33"/>
        <v>1+0.147537946259776i</v>
      </c>
      <c r="R54" s="18">
        <f t="shared" si="42"/>
        <v>1.0108251310620213</v>
      </c>
      <c r="S54" s="18">
        <f t="shared" si="43"/>
        <v>0.14648120575486306</v>
      </c>
      <c r="T54" s="18" t="str">
        <f t="shared" si="34"/>
        <v>1+0.0000295075892519552i</v>
      </c>
      <c r="U54" s="18">
        <f t="shared" si="44"/>
        <v>1.0000000004353489</v>
      </c>
      <c r="V54" s="18">
        <f t="shared" si="45"/>
        <v>2.9507589243391135E-5</v>
      </c>
      <c r="W54" s="32" t="str">
        <f t="shared" si="35"/>
        <v>1-0.00139775921673241i</v>
      </c>
      <c r="X54" s="18">
        <f t="shared" si="46"/>
        <v>1.0000009768649369</v>
      </c>
      <c r="Y54" s="18">
        <f t="shared" si="47"/>
        <v>-1.3977583064517197E-3</v>
      </c>
      <c r="Z54" s="32" t="str">
        <f t="shared" si="36"/>
        <v>0.99999998286343+0.000149157818795446i</v>
      </c>
      <c r="AA54" s="18">
        <f t="shared" si="48"/>
        <v>0.99999999398745743</v>
      </c>
      <c r="AB54" s="18">
        <f t="shared" si="49"/>
        <v>1.4915782024534229E-4</v>
      </c>
      <c r="AC54" s="69" t="str">
        <f t="shared" si="50"/>
        <v>120.051602561036-17.8983413538446i</v>
      </c>
      <c r="AD54" s="67">
        <f t="shared" si="51"/>
        <v>41.682834627061624</v>
      </c>
      <c r="AE54" s="64">
        <f t="shared" si="52"/>
        <v>-8.479695972734298</v>
      </c>
      <c r="AF54" s="32" t="str">
        <f t="shared" si="37"/>
        <v>-0.0000198412698412698</v>
      </c>
      <c r="AG54" s="32" t="str">
        <f t="shared" si="38"/>
        <v>4.98030530789096E-06i</v>
      </c>
      <c r="AH54" s="32">
        <f t="shared" si="53"/>
        <v>4.9803053078909604E-6</v>
      </c>
      <c r="AI54" s="32">
        <f t="shared" si="54"/>
        <v>1.5707963267948966</v>
      </c>
      <c r="AJ54" s="32" t="str">
        <f t="shared" si="39"/>
        <v>1+0.00172867131078534i</v>
      </c>
      <c r="AK54" s="32">
        <f t="shared" si="55"/>
        <v>1.0000014941511342</v>
      </c>
      <c r="AL54" s="32">
        <f t="shared" si="56"/>
        <v>1.7286695888563412E-3</v>
      </c>
      <c r="AM54" s="32" t="str">
        <f t="shared" si="40"/>
        <v>1+0.0373825170957331i</v>
      </c>
      <c r="AN54" s="32">
        <f t="shared" si="57"/>
        <v>1.0006984823534073</v>
      </c>
      <c r="AO54" s="32">
        <f t="shared" si="58"/>
        <v>3.7365118250132813E-2</v>
      </c>
      <c r="AP54" s="61" t="str">
        <f t="shared" si="59"/>
        <v>-0.142042589237352+3.98419203309547i</v>
      </c>
      <c r="AQ54" s="52">
        <f t="shared" si="60"/>
        <v>12.012321772845947</v>
      </c>
      <c r="AR54" s="64">
        <f t="shared" si="61"/>
        <v>92.04181810512577</v>
      </c>
      <c r="AS54" s="61" t="str">
        <f t="shared" si="62"/>
        <v>54.2579885577478+480.850965232977i</v>
      </c>
      <c r="AT54" s="67">
        <f t="shared" si="63"/>
        <v>53.69515639990756</v>
      </c>
      <c r="AU54" s="64">
        <f t="shared" si="64"/>
        <v>83.562122132391465</v>
      </c>
      <c r="AV54" s="32"/>
    </row>
    <row r="55" spans="1:48" x14ac:dyDescent="0.25">
      <c r="A55" t="s">
        <v>225</v>
      </c>
      <c r="B55" s="3">
        <f>CCOMP</f>
        <v>3.3000000000000004E-8</v>
      </c>
      <c r="C55" s="2" t="s">
        <v>198</v>
      </c>
      <c r="E55" s="32" t="s">
        <v>228</v>
      </c>
      <c r="N55" s="11">
        <v>37</v>
      </c>
      <c r="O55" s="53">
        <f t="shared" si="41"/>
        <v>23.442288153199236</v>
      </c>
      <c r="P55" s="51" t="str">
        <f t="shared" si="32"/>
        <v>122.692307692308</v>
      </c>
      <c r="Q55" s="18" t="str">
        <f t="shared" si="33"/>
        <v>1+0.150974546503123i</v>
      </c>
      <c r="R55" s="18">
        <f t="shared" si="42"/>
        <v>1.0113324446945344</v>
      </c>
      <c r="S55" s="18">
        <f t="shared" si="43"/>
        <v>0.14984291279461273</v>
      </c>
      <c r="T55" s="18" t="str">
        <f t="shared" si="34"/>
        <v>1+0.0000301949093006247i</v>
      </c>
      <c r="U55" s="18">
        <f t="shared" si="44"/>
        <v>1.0000000004558662</v>
      </c>
      <c r="V55" s="18">
        <f t="shared" si="45"/>
        <v>3.0194909291448139E-5</v>
      </c>
      <c r="W55" s="32" t="str">
        <f t="shared" si="35"/>
        <v>1-0.00143031721137811i</v>
      </c>
      <c r="X55" s="18">
        <f t="shared" si="46"/>
        <v>1.0000010229031393</v>
      </c>
      <c r="Y55" s="18">
        <f t="shared" si="47"/>
        <v>-1.4303162359948312E-3</v>
      </c>
      <c r="Z55" s="32" t="str">
        <f t="shared" si="36"/>
        <v>0.999999982055808+0.000152632150717263i</v>
      </c>
      <c r="AA55" s="18">
        <f t="shared" si="48"/>
        <v>0.99999999370409476</v>
      </c>
      <c r="AB55" s="18">
        <f t="shared" si="49"/>
        <v>1.5263215227085493E-4</v>
      </c>
      <c r="AC55" s="69" t="str">
        <f t="shared" si="50"/>
        <v>119.929923432905-18.2968768296552i</v>
      </c>
      <c r="AD55" s="67">
        <f t="shared" si="51"/>
        <v>41.678476842695162</v>
      </c>
      <c r="AE55" s="64">
        <f t="shared" si="52"/>
        <v>-8.6743327140476705</v>
      </c>
      <c r="AF55" s="32" t="str">
        <f t="shared" si="37"/>
        <v>-0.0000198412698412698</v>
      </c>
      <c r="AG55" s="32" t="str">
        <f t="shared" si="38"/>
        <v>5.09631152098346E-06i</v>
      </c>
      <c r="AH55" s="32">
        <f t="shared" si="53"/>
        <v>5.0963115209834604E-6</v>
      </c>
      <c r="AI55" s="32">
        <f t="shared" si="54"/>
        <v>1.5707963267948966</v>
      </c>
      <c r="AJ55" s="32" t="str">
        <f t="shared" si="39"/>
        <v>1+0.00176893723828343i</v>
      </c>
      <c r="AK55" s="32">
        <f t="shared" si="55"/>
        <v>1.0000015645682525</v>
      </c>
      <c r="AL55" s="32">
        <f t="shared" si="56"/>
        <v>1.7689353932034216E-3</v>
      </c>
      <c r="AM55" s="32" t="str">
        <f t="shared" si="40"/>
        <v>1+0.0382532677778792i</v>
      </c>
      <c r="AN55" s="32">
        <f t="shared" si="57"/>
        <v>1.0007313887830671</v>
      </c>
      <c r="AO55" s="32">
        <f t="shared" si="58"/>
        <v>3.8234625314746772E-2</v>
      </c>
      <c r="AP55" s="61" t="str">
        <f t="shared" si="59"/>
        <v>-0.142042569232925+3.89351205890313i</v>
      </c>
      <c r="AQ55" s="52">
        <f t="shared" si="60"/>
        <v>11.812606778629943</v>
      </c>
      <c r="AR55" s="64">
        <f t="shared" si="61"/>
        <v>92.089330129537174</v>
      </c>
      <c r="AS55" s="61" t="str">
        <f t="shared" si="62"/>
        <v>54.20395612421+469.547538503167i</v>
      </c>
      <c r="AT55" s="67">
        <f t="shared" si="63"/>
        <v>53.491083621325103</v>
      </c>
      <c r="AU55" s="64">
        <f t="shared" si="64"/>
        <v>83.414997415489495</v>
      </c>
      <c r="AV55" s="32"/>
    </row>
    <row r="56" spans="1:48" x14ac:dyDescent="0.25">
      <c r="A56" t="s">
        <v>226</v>
      </c>
      <c r="B56" s="3">
        <f>CHF</f>
        <v>1.6000000000000001E-9</v>
      </c>
      <c r="C56" s="2" t="s">
        <v>198</v>
      </c>
      <c r="E56" s="32" t="s">
        <v>229</v>
      </c>
      <c r="N56" s="11">
        <v>38</v>
      </c>
      <c r="O56" s="53">
        <f t="shared" si="41"/>
        <v>23.988329190194907</v>
      </c>
      <c r="P56" s="51" t="str">
        <f t="shared" si="32"/>
        <v>122.692307692308</v>
      </c>
      <c r="Q56" s="18" t="str">
        <f t="shared" si="33"/>
        <v>1+0.15449119544941i</v>
      </c>
      <c r="R56" s="18">
        <f t="shared" si="42"/>
        <v>1.0118633946691558</v>
      </c>
      <c r="S56" s="18">
        <f t="shared" si="43"/>
        <v>0.15327939457811804</v>
      </c>
      <c r="T56" s="18" t="str">
        <f t="shared" si="34"/>
        <v>1+0.0000308982390898821i</v>
      </c>
      <c r="U56" s="18">
        <f t="shared" si="44"/>
        <v>1.0000000004773506</v>
      </c>
      <c r="V56" s="18">
        <f t="shared" si="45"/>
        <v>3.0898239080049243E-5</v>
      </c>
      <c r="W56" s="32" t="str">
        <f t="shared" si="35"/>
        <v>1-0.00146363357914177i</v>
      </c>
      <c r="X56" s="18">
        <f t="shared" si="46"/>
        <v>1.0000010711110534</v>
      </c>
      <c r="Y56" s="18">
        <f t="shared" si="47"/>
        <v>-1.4636325339998171E-3</v>
      </c>
      <c r="Z56" s="32" t="str">
        <f t="shared" si="36"/>
        <v>0.999999981210124+0.000156187410225714i</v>
      </c>
      <c r="AA56" s="18">
        <f t="shared" si="48"/>
        <v>0.99999999340737766</v>
      </c>
      <c r="AB56" s="18">
        <f t="shared" si="49"/>
        <v>1.5618741189041778E-4</v>
      </c>
      <c r="AC56" s="69" t="str">
        <f t="shared" si="50"/>
        <v>119.802771085988-18.7034219223366i</v>
      </c>
      <c r="AD56" s="67">
        <f t="shared" si="51"/>
        <v>41.673918364945735</v>
      </c>
      <c r="AE56" s="64">
        <f t="shared" si="52"/>
        <v>-8.8733009034234769</v>
      </c>
      <c r="AF56" s="32" t="str">
        <f t="shared" si="37"/>
        <v>-0.0000198412698412698</v>
      </c>
      <c r="AG56" s="32" t="str">
        <f t="shared" si="38"/>
        <v>5.21501986590205E-06i</v>
      </c>
      <c r="AH56" s="32">
        <f t="shared" si="53"/>
        <v>5.2150198659020499E-6</v>
      </c>
      <c r="AI56" s="32">
        <f t="shared" si="54"/>
        <v>1.5707963267948966</v>
      </c>
      <c r="AJ56" s="32" t="str">
        <f t="shared" si="39"/>
        <v>1+0.0018101410797199i</v>
      </c>
      <c r="AK56" s="32">
        <f t="shared" si="55"/>
        <v>1.0000016383040222</v>
      </c>
      <c r="AL56" s="32">
        <f t="shared" si="56"/>
        <v>1.8101391026812263E-3</v>
      </c>
      <c r="AM56" s="32" t="str">
        <f t="shared" si="40"/>
        <v>1+0.0391443008489428i</v>
      </c>
      <c r="AN56" s="32">
        <f t="shared" si="57"/>
        <v>1.0007658448852821</v>
      </c>
      <c r="AO56" s="32">
        <f t="shared" si="58"/>
        <v>3.9124325915320224E-2</v>
      </c>
      <c r="AP56" s="61" t="str">
        <f t="shared" si="59"/>
        <v>-0.142042548285723+3.80489647633781i</v>
      </c>
      <c r="AQ56" s="52">
        <f t="shared" si="60"/>
        <v>11.612905196191575</v>
      </c>
      <c r="AR56" s="64">
        <f t="shared" si="61"/>
        <v>92.137945420326929</v>
      </c>
      <c r="AS56" s="61" t="str">
        <f t="shared" si="62"/>
        <v>54.147493271013+458.493823272093i</v>
      </c>
      <c r="AT56" s="67">
        <f t="shared" si="63"/>
        <v>53.286823561137311</v>
      </c>
      <c r="AU56" s="64">
        <f t="shared" si="64"/>
        <v>83.264644516903459</v>
      </c>
    </row>
    <row r="57" spans="1:48" x14ac:dyDescent="0.25">
      <c r="N57" s="11">
        <v>39</v>
      </c>
      <c r="O57" s="53">
        <f t="shared" si="41"/>
        <v>24.547089156850316</v>
      </c>
      <c r="P57" s="51" t="str">
        <f t="shared" si="32"/>
        <v>122.692307692308</v>
      </c>
      <c r="Q57" s="18" t="str">
        <f t="shared" si="33"/>
        <v>1+0.158089757672458i</v>
      </c>
      <c r="R57" s="18">
        <f t="shared" si="42"/>
        <v>1.0124190691017907</v>
      </c>
      <c r="S57" s="18">
        <f t="shared" si="43"/>
        <v>0.15679214834367924</v>
      </c>
      <c r="T57" s="18" t="str">
        <f t="shared" si="34"/>
        <v>1+0.0000316179515344916i</v>
      </c>
      <c r="U57" s="18">
        <f t="shared" si="44"/>
        <v>1.0000000004998473</v>
      </c>
      <c r="V57" s="18">
        <f t="shared" si="45"/>
        <v>3.16179515239555E-5</v>
      </c>
      <c r="W57" s="32" t="str">
        <f t="shared" si="35"/>
        <v>1-0.00149772598480257i</v>
      </c>
      <c r="X57" s="18">
        <f t="shared" si="46"/>
        <v>1.0000011215909337</v>
      </c>
      <c r="Y57" s="18">
        <f t="shared" si="47"/>
        <v>-1.4977248649128588E-3</v>
      </c>
      <c r="Z57" s="32" t="str">
        <f t="shared" si="36"/>
        <v>0.999999980324585+0.000159825482366452i</v>
      </c>
      <c r="AA57" s="18">
        <f t="shared" si="48"/>
        <v>0.99999999309667775</v>
      </c>
      <c r="AB57" s="18">
        <f t="shared" si="49"/>
        <v>1.5982548415021414E-4</v>
      </c>
      <c r="AC57" s="69" t="str">
        <f t="shared" si="50"/>
        <v>119.669911887631-19.1180769063311i</v>
      </c>
      <c r="AD57" s="67">
        <f t="shared" si="51"/>
        <v>41.669150176425347</v>
      </c>
      <c r="AE57" s="64">
        <f t="shared" si="52"/>
        <v>-9.0766874250345104</v>
      </c>
      <c r="AF57" s="32" t="str">
        <f t="shared" si="37"/>
        <v>-0.0000198412698412698</v>
      </c>
      <c r="AG57" s="32" t="str">
        <f t="shared" si="38"/>
        <v>5.33649328338248E-06i</v>
      </c>
      <c r="AH57" s="32">
        <f t="shared" si="53"/>
        <v>5.3364932833824802E-6</v>
      </c>
      <c r="AI57" s="32">
        <f t="shared" si="54"/>
        <v>1.5707963267948966</v>
      </c>
      <c r="AJ57" s="32" t="str">
        <f t="shared" si="39"/>
        <v>1+0.00185230468191689i</v>
      </c>
      <c r="AK57" s="32">
        <f t="shared" si="55"/>
        <v>1.0000017155148457</v>
      </c>
      <c r="AL57" s="32">
        <f t="shared" si="56"/>
        <v>1.8523025634819802E-3</v>
      </c>
      <c r="AM57" s="32" t="str">
        <f t="shared" si="40"/>
        <v>1+0.0400560887464527i</v>
      </c>
      <c r="AN57" s="32">
        <f t="shared" si="57"/>
        <v>1.0008019235821162</v>
      </c>
      <c r="AO57" s="32">
        <f t="shared" si="58"/>
        <v>4.00346861456118E-2</v>
      </c>
      <c r="AP57" s="61" t="str">
        <f t="shared" si="59"/>
        <v>-0.142042526351317+3.71829830024444i</v>
      </c>
      <c r="AQ57" s="52">
        <f t="shared" si="60"/>
        <v>11.413217655669293</v>
      </c>
      <c r="AR57" s="64">
        <f t="shared" si="61"/>
        <v>92.187689431005623</v>
      </c>
      <c r="AS57" s="61" t="str">
        <f t="shared" si="62"/>
        <v>54.0884962519948+447.684009904934i</v>
      </c>
      <c r="AT57" s="67">
        <f t="shared" si="63"/>
        <v>53.082367832094633</v>
      </c>
      <c r="AU57" s="64">
        <f t="shared" si="64"/>
        <v>83.11100200597113</v>
      </c>
    </row>
    <row r="58" spans="1:48" x14ac:dyDescent="0.25">
      <c r="A58" t="s">
        <v>270</v>
      </c>
      <c r="B58" s="1">
        <f>-(RFBB*gm_ea)/(RFBB+RFBT)</f>
        <v>-1.9841269841269841E-5</v>
      </c>
      <c r="C58" t="s">
        <v>183</v>
      </c>
      <c r="N58" s="11">
        <v>40</v>
      </c>
      <c r="O58" s="53">
        <f t="shared" si="41"/>
        <v>25.118864315095799</v>
      </c>
      <c r="P58" s="51" t="str">
        <f t="shared" si="32"/>
        <v>122.692307692308</v>
      </c>
      <c r="Q58" s="18" t="str">
        <f t="shared" si="33"/>
        <v>1+0.161772141177589i</v>
      </c>
      <c r="R58" s="18">
        <f t="shared" si="42"/>
        <v>1.0130006049658518</v>
      </c>
      <c r="S58" s="18">
        <f t="shared" si="43"/>
        <v>0.16038268965874808</v>
      </c>
      <c r="T58" s="18" t="str">
        <f t="shared" si="34"/>
        <v>1+0.0000323544282355179i</v>
      </c>
      <c r="U58" s="18">
        <f t="shared" si="44"/>
        <v>1.0000000005234044</v>
      </c>
      <c r="V58" s="18">
        <f t="shared" si="45"/>
        <v>3.2354428224228262E-5</v>
      </c>
      <c r="W58" s="32" t="str">
        <f t="shared" si="35"/>
        <v>1-0.00153261250460526i</v>
      </c>
      <c r="X58" s="18">
        <f t="shared" si="46"/>
        <v>1.0000011744498549</v>
      </c>
      <c r="Y58" s="18">
        <f t="shared" si="47"/>
        <v>-1.5326113046218906E-3</v>
      </c>
      <c r="Z58" s="32" t="str">
        <f t="shared" si="36"/>
        <v>0.999999979397311+0.000163548296093483i</v>
      </c>
      <c r="AA58" s="18">
        <f t="shared" si="48"/>
        <v>0.99999999277133378</v>
      </c>
      <c r="AB58" s="18">
        <f t="shared" si="49"/>
        <v>1.6354829800481859E-4</v>
      </c>
      <c r="AC58" s="69" t="str">
        <f t="shared" si="50"/>
        <v>119.53110341088-19.5409387796425i</v>
      </c>
      <c r="AD58" s="67">
        <f t="shared" si="51"/>
        <v>41.66416287576007</v>
      </c>
      <c r="AE58" s="64">
        <f t="shared" si="52"/>
        <v>-9.2845802388280312</v>
      </c>
      <c r="AF58" s="32" t="str">
        <f t="shared" si="37"/>
        <v>-0.0000198412698412698</v>
      </c>
      <c r="AG58" s="32" t="str">
        <f t="shared" si="38"/>
        <v>5.46079618023861E-06i</v>
      </c>
      <c r="AH58" s="32">
        <f t="shared" si="53"/>
        <v>5.4607961802386096E-6</v>
      </c>
      <c r="AI58" s="32">
        <f t="shared" si="54"/>
        <v>1.5707963267948966</v>
      </c>
      <c r="AJ58" s="32" t="str">
        <f t="shared" si="39"/>
        <v>1+0.00189545040057439i</v>
      </c>
      <c r="AK58" s="32">
        <f t="shared" si="55"/>
        <v>1.0000017963644972</v>
      </c>
      <c r="AL58" s="32">
        <f t="shared" si="56"/>
        <v>1.8954481306307073E-3</v>
      </c>
      <c r="AM58" s="32" t="str">
        <f t="shared" si="40"/>
        <v>1+0.0409891149124212i</v>
      </c>
      <c r="AN58" s="32">
        <f t="shared" si="57"/>
        <v>1.0008397012215811</v>
      </c>
      <c r="AO58" s="32">
        <f t="shared" si="58"/>
        <v>4.096618265149303E-2</v>
      </c>
      <c r="AP58" s="61" t="str">
        <f t="shared" si="59"/>
        <v>-0.142042503383182+3.6336716151235i</v>
      </c>
      <c r="AQ58" s="52">
        <f t="shared" si="60"/>
        <v>11.213544816712311</v>
      </c>
      <c r="AR58" s="64">
        <f t="shared" si="61"/>
        <v>92.238588190521483</v>
      </c>
      <c r="AS58" s="61" t="str">
        <f t="shared" si="62"/>
        <v>54.0268574158176+437.112421451224i</v>
      </c>
      <c r="AT58" s="67">
        <f t="shared" si="63"/>
        <v>52.877707692472377</v>
      </c>
      <c r="AU58" s="64">
        <f t="shared" si="64"/>
        <v>82.954007951693455</v>
      </c>
    </row>
    <row r="59" spans="1:48" x14ac:dyDescent="0.25">
      <c r="A59" t="s">
        <v>269</v>
      </c>
      <c r="B59" s="1">
        <f>1/(RCOMP*CCOMP)</f>
        <v>3850.4485772592502</v>
      </c>
      <c r="E59" t="s">
        <v>284</v>
      </c>
      <c r="N59" s="11">
        <v>41</v>
      </c>
      <c r="O59" s="53">
        <f t="shared" si="41"/>
        <v>25.703957827688647</v>
      </c>
      <c r="P59" s="51" t="str">
        <f t="shared" si="32"/>
        <v>122.692307692308</v>
      </c>
      <c r="Q59" s="18" t="str">
        <f t="shared" si="33"/>
        <v>1+0.165540298413279i</v>
      </c>
      <c r="R59" s="18">
        <f t="shared" si="42"/>
        <v>1.013609190170826</v>
      </c>
      <c r="S59" s="18">
        <f t="shared" si="43"/>
        <v>0.16405255177330688</v>
      </c>
      <c r="T59" s="18" t="str">
        <f t="shared" si="34"/>
        <v>1+0.0000331080596826559i</v>
      </c>
      <c r="U59" s="18">
        <f t="shared" si="44"/>
        <v>1.0000000005480718</v>
      </c>
      <c r="V59" s="18">
        <f t="shared" si="45"/>
        <v>3.310805967055884E-5</v>
      </c>
      <c r="W59" s="32" t="str">
        <f t="shared" si="35"/>
        <v>1-0.00156831163584442i</v>
      </c>
      <c r="X59" s="18">
        <f t="shared" si="46"/>
        <v>1.0000012297999374</v>
      </c>
      <c r="Y59" s="18">
        <f t="shared" si="47"/>
        <v>-1.5683103500391592E-3</v>
      </c>
      <c r="Z59" s="32" t="str">
        <f t="shared" si="36"/>
        <v>0.999999978426336+0.000167357825291918i</v>
      </c>
      <c r="AA59" s="18">
        <f t="shared" si="48"/>
        <v>0.99999999243065718</v>
      </c>
      <c r="AB59" s="18">
        <f t="shared" si="49"/>
        <v>1.6735782733995103E-4</v>
      </c>
      <c r="AC59" s="69" t="str">
        <f t="shared" si="50"/>
        <v>119.386094215594-19.9721008503425i</v>
      </c>
      <c r="AD59" s="67">
        <f t="shared" si="51"/>
        <v>41.658946663225052</v>
      </c>
      <c r="AE59" s="64">
        <f t="shared" si="52"/>
        <v>-9.4970683440739467</v>
      </c>
      <c r="AF59" s="32" t="str">
        <f t="shared" si="37"/>
        <v>-0.0000198412698412698</v>
      </c>
      <c r="AG59" s="32" t="str">
        <f t="shared" si="38"/>
        <v>5.58799446351168E-06i</v>
      </c>
      <c r="AH59" s="32">
        <f t="shared" si="53"/>
        <v>5.5879944635116804E-6</v>
      </c>
      <c r="AI59" s="32">
        <f t="shared" si="54"/>
        <v>1.5707963267948966</v>
      </c>
      <c r="AJ59" s="32" t="str">
        <f t="shared" si="39"/>
        <v>1+0.00193960111212352i</v>
      </c>
      <c r="AK59" s="32">
        <f t="shared" si="55"/>
        <v>1.000001881024468</v>
      </c>
      <c r="AL59" s="32">
        <f t="shared" si="56"/>
        <v>1.9395986798352895E-3</v>
      </c>
      <c r="AM59" s="32" t="str">
        <f t="shared" si="40"/>
        <v>1+0.041943874049671i</v>
      </c>
      <c r="AN59" s="32">
        <f t="shared" si="57"/>
        <v>1.0008792577380623</v>
      </c>
      <c r="AO59" s="32">
        <f t="shared" si="58"/>
        <v>4.1919302855084072E-2</v>
      </c>
      <c r="AP59" s="61" t="str">
        <f t="shared" si="59"/>
        <v>-0.1420424793326+3.55097155078612i</v>
      </c>
      <c r="AQ59" s="52">
        <f t="shared" si="60"/>
        <v>11.013887369853716</v>
      </c>
      <c r="AR59" s="64">
        <f t="shared" si="61"/>
        <v>92.290668315423318</v>
      </c>
      <c r="AS59" s="61" t="str">
        <f t="shared" si="62"/>
        <v>53.9624651087791+426.773510841309i</v>
      </c>
      <c r="AT59" s="67">
        <f t="shared" si="63"/>
        <v>52.672834033078772</v>
      </c>
      <c r="AU59" s="64">
        <f t="shared" si="64"/>
        <v>82.79359997134938</v>
      </c>
    </row>
    <row r="60" spans="1:48" x14ac:dyDescent="0.25">
      <c r="A60" t="s">
        <v>274</v>
      </c>
      <c r="B60" s="1">
        <f>(CCOMP+CHF)</f>
        <v>3.4600000000000005E-8</v>
      </c>
      <c r="E60" t="s">
        <v>285</v>
      </c>
      <c r="N60" s="11">
        <v>42</v>
      </c>
      <c r="O60" s="53">
        <f t="shared" si="41"/>
        <v>26.302679918953825</v>
      </c>
      <c r="P60" s="51" t="str">
        <f t="shared" si="32"/>
        <v>122.692307692308</v>
      </c>
      <c r="Q60" s="18" t="str">
        <f t="shared" si="33"/>
        <v>1+0.169396227306373i</v>
      </c>
      <c r="R60" s="18">
        <f t="shared" si="42"/>
        <v>1.014246065718587</v>
      </c>
      <c r="S60" s="18">
        <f t="shared" si="43"/>
        <v>0.16780328489398233</v>
      </c>
      <c r="T60" s="18" t="str">
        <f t="shared" si="34"/>
        <v>1+0.0000338792454612747i</v>
      </c>
      <c r="U60" s="18">
        <f t="shared" si="44"/>
        <v>1.0000000005739016</v>
      </c>
      <c r="V60" s="18">
        <f t="shared" si="45"/>
        <v>3.3879245448312464E-5</v>
      </c>
      <c r="W60" s="32" t="str">
        <f t="shared" si="35"/>
        <v>1-0.00160484230667196i</v>
      </c>
      <c r="X60" s="18">
        <f t="shared" si="46"/>
        <v>1.0000012877585855</v>
      </c>
      <c r="Y60" s="18">
        <f t="shared" si="47"/>
        <v>-1.604840928906896E-3</v>
      </c>
      <c r="Z60" s="32" t="str">
        <f t="shared" si="36"/>
        <v>0.999999977409601+0.000171256089824566i</v>
      </c>
      <c r="AA60" s="18">
        <f t="shared" si="48"/>
        <v>0.99999999207392554</v>
      </c>
      <c r="AB60" s="18">
        <f t="shared" si="49"/>
        <v>1.7125609201907286E-4</v>
      </c>
      <c r="AC60" s="69" t="str">
        <f t="shared" si="50"/>
        <v>119.234623635578-20.4116522964851i</v>
      </c>
      <c r="AD60" s="67">
        <f t="shared" si="51"/>
        <v>41.653491326031414</v>
      </c>
      <c r="AE60" s="64">
        <f t="shared" si="52"/>
        <v>-9.7142417383840431</v>
      </c>
      <c r="AF60" s="32" t="str">
        <f t="shared" si="37"/>
        <v>-0.0000198412698412698</v>
      </c>
      <c r="AG60" s="32" t="str">
        <f t="shared" si="38"/>
        <v>5.71815557541515E-06i</v>
      </c>
      <c r="AH60" s="32">
        <f t="shared" si="53"/>
        <v>5.7181555754151504E-6</v>
      </c>
      <c r="AI60" s="32">
        <f t="shared" si="54"/>
        <v>1.5707963267948966</v>
      </c>
      <c r="AJ60" s="32" t="str">
        <f t="shared" si="39"/>
        <v>1+0.00198478022585595i</v>
      </c>
      <c r="AK60" s="32">
        <f t="shared" si="55"/>
        <v>1.0000019696743327</v>
      </c>
      <c r="AL60" s="32">
        <f t="shared" si="56"/>
        <v>1.9847776196124322E-3</v>
      </c>
      <c r="AM60" s="32" t="str">
        <f t="shared" si="40"/>
        <v>1+0.0429208723841349i</v>
      </c>
      <c r="AN60" s="32">
        <f t="shared" si="57"/>
        <v>1.0009206768202039</v>
      </c>
      <c r="AO60" s="32">
        <f t="shared" si="58"/>
        <v>4.289454518257959E-2</v>
      </c>
      <c r="AP60" s="61" t="str">
        <f t="shared" si="59"/>
        <v>-0.142042454148557+3.47015425856327i</v>
      </c>
      <c r="AQ60" s="52">
        <f t="shared" si="60"/>
        <v>10.81424603794623</v>
      </c>
      <c r="AR60" s="64">
        <f t="shared" si="61"/>
        <v>92.3439570222192</v>
      </c>
      <c r="AS60" s="61" t="str">
        <f t="shared" si="62"/>
        <v>53.8952035802835+416.661858162609i</v>
      </c>
      <c r="AT60" s="67">
        <f t="shared" si="63"/>
        <v>52.467737363977633</v>
      </c>
      <c r="AU60" s="64">
        <f t="shared" si="64"/>
        <v>82.629715283835154</v>
      </c>
    </row>
    <row r="61" spans="1:48" x14ac:dyDescent="0.25">
      <c r="A61" s="32" t="s">
        <v>275</v>
      </c>
      <c r="B61" s="1">
        <f>(CCOMP+CHF)/(RCOMP*CHF*CCOMP)</f>
        <v>83265.950483231296</v>
      </c>
      <c r="E61" s="32" t="s">
        <v>286</v>
      </c>
      <c r="N61" s="11">
        <v>43</v>
      </c>
      <c r="O61" s="53">
        <f t="shared" si="41"/>
        <v>26.915348039269158</v>
      </c>
      <c r="P61" s="51" t="str">
        <f t="shared" si="32"/>
        <v>122.692307692308</v>
      </c>
      <c r="Q61" s="18" t="str">
        <f t="shared" si="33"/>
        <v>1+0.17334197232141i</v>
      </c>
      <c r="R61" s="18">
        <f t="shared" si="42"/>
        <v>1.0149125279393669</v>
      </c>
      <c r="S61" s="18">
        <f t="shared" si="43"/>
        <v>0.17163645537385311</v>
      </c>
      <c r="T61" s="18" t="str">
        <f t="shared" si="34"/>
        <v>1+0.000034668394464282i</v>
      </c>
      <c r="U61" s="18">
        <f t="shared" si="44"/>
        <v>1.0000000006009486</v>
      </c>
      <c r="V61" s="18">
        <f t="shared" si="45"/>
        <v>3.4668394450392712E-5</v>
      </c>
      <c r="W61" s="32" t="str">
        <f t="shared" si="35"/>
        <v>1-0.0016422238861331i</v>
      </c>
      <c r="X61" s="18">
        <f t="shared" si="46"/>
        <v>1.0000013484487369</v>
      </c>
      <c r="Y61" s="18">
        <f t="shared" si="47"/>
        <v>-1.6422224098313436E-3</v>
      </c>
      <c r="Z61" s="32" t="str">
        <f t="shared" si="36"/>
        <v>0.999999976344948+0.000175245156602883i</v>
      </c>
      <c r="AA61" s="18">
        <f t="shared" si="48"/>
        <v>0.99999999170038056</v>
      </c>
      <c r="AB61" s="18">
        <f t="shared" si="49"/>
        <v>1.7524515895433955E-4</v>
      </c>
      <c r="AC61" s="69" t="str">
        <f t="shared" si="50"/>
        <v>119.07642157324-20.8596776983623i</v>
      </c>
      <c r="AD61" s="67">
        <f t="shared" si="51"/>
        <v>41.64778622327507</v>
      </c>
      <c r="AE61" s="64">
        <f t="shared" si="52"/>
        <v>-9.9361913719161006</v>
      </c>
      <c r="AF61" s="32" t="str">
        <f t="shared" si="37"/>
        <v>-0.0000198412698412698</v>
      </c>
      <c r="AG61" s="32" t="str">
        <f t="shared" si="38"/>
        <v>5.85134852909345E-06i</v>
      </c>
      <c r="AH61" s="32">
        <f t="shared" si="53"/>
        <v>5.8513485290934501E-6</v>
      </c>
      <c r="AI61" s="32">
        <f t="shared" si="54"/>
        <v>1.5707963267948966</v>
      </c>
      <c r="AJ61" s="32" t="str">
        <f t="shared" si="39"/>
        <v>1+0.00203101169633581i</v>
      </c>
      <c r="AK61" s="32">
        <f t="shared" si="55"/>
        <v>1.0000020625021284</v>
      </c>
      <c r="AL61" s="32">
        <f t="shared" si="56"/>
        <v>2.0310089036958776E-3</v>
      </c>
      <c r="AM61" s="32" t="str">
        <f t="shared" si="40"/>
        <v>1+0.0439206279332619i</v>
      </c>
      <c r="AN61" s="32">
        <f t="shared" si="57"/>
        <v>1.0009640460865974</v>
      </c>
      <c r="AO61" s="32">
        <f t="shared" si="58"/>
        <v>4.3892419295737659E-2</v>
      </c>
      <c r="AP61" s="61" t="str">
        <f t="shared" si="59"/>
        <v>-0.142042427777637+3.3911768880565i</v>
      </c>
      <c r="AQ61" s="52">
        <f t="shared" si="60"/>
        <v>10.614621577663534</v>
      </c>
      <c r="AR61" s="64">
        <f t="shared" si="61"/>
        <v>92.398482139929058</v>
      </c>
      <c r="AS61" s="61" t="str">
        <f t="shared" si="62"/>
        <v>53.8249528916574+406.772168014578i</v>
      </c>
      <c r="AT61" s="67">
        <f t="shared" si="63"/>
        <v>52.262407800938604</v>
      </c>
      <c r="AU61" s="64">
        <f t="shared" si="64"/>
        <v>82.462290768012977</v>
      </c>
    </row>
    <row r="62" spans="1:48" x14ac:dyDescent="0.25">
      <c r="N62" s="11">
        <v>44</v>
      </c>
      <c r="O62" s="53">
        <f t="shared" si="41"/>
        <v>27.542287033381665</v>
      </c>
      <c r="P62" s="51" t="str">
        <f t="shared" si="32"/>
        <v>122.692307692308</v>
      </c>
      <c r="Q62" s="18" t="str">
        <f t="shared" si="33"/>
        <v>1+0.177379625544624i</v>
      </c>
      <c r="R62" s="18">
        <f t="shared" si="42"/>
        <v>1.015609930809241</v>
      </c>
      <c r="S62" s="18">
        <f t="shared" si="43"/>
        <v>0.1755536448127209</v>
      </c>
      <c r="T62" s="18" t="str">
        <f t="shared" si="34"/>
        <v>1+0.0000354759251089248i</v>
      </c>
      <c r="U62" s="18">
        <f t="shared" si="44"/>
        <v>1.0000000006292706</v>
      </c>
      <c r="V62" s="18">
        <f t="shared" si="45"/>
        <v>3.5475925094042157E-5</v>
      </c>
      <c r="W62" s="32" t="str">
        <f t="shared" si="35"/>
        <v>1-0.00168047619443607i</v>
      </c>
      <c r="X62" s="18">
        <f t="shared" si="46"/>
        <v>1.0000014119991232</v>
      </c>
      <c r="Y62" s="18">
        <f t="shared" si="47"/>
        <v>-1.6804746125503583E-3</v>
      </c>
      <c r="Z62" s="32" t="str">
        <f t="shared" si="36"/>
        <v>0.99999997523012+0.000179327140682873i</v>
      </c>
      <c r="AA62" s="18">
        <f t="shared" si="48"/>
        <v>0.99999999130923178</v>
      </c>
      <c r="AB62" s="18">
        <f t="shared" si="49"/>
        <v>1.7932714320250401E-4</v>
      </c>
      <c r="AC62" s="69" t="str">
        <f t="shared" si="50"/>
        <v>118.911208303457-21.3162565420493i</v>
      </c>
      <c r="AD62" s="67">
        <f t="shared" si="51"/>
        <v>41.641820270562697</v>
      </c>
      <c r="AE62" s="64">
        <f t="shared" si="52"/>
        <v>-10.163009096461035</v>
      </c>
      <c r="AF62" s="32" t="str">
        <f t="shared" si="37"/>
        <v>-0.0000198412698412698</v>
      </c>
      <c r="AG62" s="32" t="str">
        <f t="shared" si="38"/>
        <v>5.98764394521362E-06i</v>
      </c>
      <c r="AH62" s="32">
        <f t="shared" si="53"/>
        <v>5.9876439452136197E-6</v>
      </c>
      <c r="AI62" s="32">
        <f t="shared" si="54"/>
        <v>1.5707963267948966</v>
      </c>
      <c r="AJ62" s="32" t="str">
        <f t="shared" si="39"/>
        <v>1+0.00207832003610068i</v>
      </c>
      <c r="AK62" s="32">
        <f t="shared" si="55"/>
        <v>1.0000021597047541</v>
      </c>
      <c r="AL62" s="32">
        <f t="shared" si="56"/>
        <v>2.0783170437334289E-3</v>
      </c>
      <c r="AM62" s="32" t="str">
        <f t="shared" si="40"/>
        <v>1+0.0449436707806773i</v>
      </c>
      <c r="AN62" s="32">
        <f t="shared" si="57"/>
        <v>1.0010094572696313</v>
      </c>
      <c r="AO62" s="32">
        <f t="shared" si="58"/>
        <v>4.4913446327007049E-2</v>
      </c>
      <c r="AP62" s="61" t="str">
        <f t="shared" si="59"/>
        <v>-0.142042400163905+3.31399756441825i</v>
      </c>
      <c r="AQ62" s="52">
        <f t="shared" si="60"/>
        <v>10.415014781071022</v>
      </c>
      <c r="AR62" s="64">
        <f t="shared" si="61"/>
        <v>92.454272122828826</v>
      </c>
      <c r="AS62" s="61" t="str">
        <f t="shared" si="62"/>
        <v>53.7515888290529+397.09926694143i</v>
      </c>
      <c r="AT62" s="67">
        <f t="shared" si="63"/>
        <v>52.056835051633719</v>
      </c>
      <c r="AU62" s="64">
        <f t="shared" si="64"/>
        <v>82.291263026367787</v>
      </c>
    </row>
    <row r="63" spans="1:48" x14ac:dyDescent="0.25">
      <c r="N63" s="11">
        <v>45</v>
      </c>
      <c r="O63" s="53">
        <f t="shared" si="41"/>
        <v>28.183829312644548</v>
      </c>
      <c r="P63" s="51" t="str">
        <f t="shared" si="32"/>
        <v>122.692307692308</v>
      </c>
      <c r="Q63" s="18" t="str">
        <f t="shared" si="33"/>
        <v>1+0.181511327793198i</v>
      </c>
      <c r="R63" s="18">
        <f t="shared" si="42"/>
        <v>1.0163396883509224</v>
      </c>
      <c r="S63" s="18">
        <f t="shared" si="43"/>
        <v>0.1795564490624173</v>
      </c>
      <c r="T63" s="18" t="str">
        <f t="shared" si="34"/>
        <v>1+0.0000363022655586396i</v>
      </c>
      <c r="U63" s="18">
        <f t="shared" si="44"/>
        <v>1.0000000006589271</v>
      </c>
      <c r="V63" s="18">
        <f t="shared" si="45"/>
        <v>3.6302265542692563E-5</v>
      </c>
      <c r="W63" s="32" t="str">
        <f t="shared" si="35"/>
        <v>1-0.00171961951346106i</v>
      </c>
      <c r="X63" s="18">
        <f t="shared" si="46"/>
        <v>1.0000014785445426</v>
      </c>
      <c r="Y63" s="18">
        <f t="shared" si="47"/>
        <v>-1.7196178184401166E-3</v>
      </c>
      <c r="Z63" s="32" t="str">
        <f t="shared" si="36"/>
        <v>0.999999974062752+0.000183504206386529i</v>
      </c>
      <c r="AA63" s="18">
        <f t="shared" si="48"/>
        <v>0.99999999089964919</v>
      </c>
      <c r="AB63" s="18">
        <f t="shared" si="49"/>
        <v>1.8350420908636221E-4</v>
      </c>
      <c r="AC63" s="69" t="str">
        <f t="shared" si="50"/>
        <v>118.738694288431-21.7814626932173i</v>
      </c>
      <c r="AD63" s="67">
        <f t="shared" si="51"/>
        <v>41.635581924328697</v>
      </c>
      <c r="AE63" s="64">
        <f t="shared" si="52"/>
        <v>-10.394787609105501</v>
      </c>
      <c r="AF63" s="32" t="str">
        <f t="shared" si="37"/>
        <v>-0.0000198412698412698</v>
      </c>
      <c r="AG63" s="32" t="str">
        <f t="shared" si="38"/>
        <v>6.12711408940939E-06i</v>
      </c>
      <c r="AH63" s="32">
        <f t="shared" si="53"/>
        <v>6.1271140894093896E-6</v>
      </c>
      <c r="AI63" s="32">
        <f t="shared" si="54"/>
        <v>1.5707963267948966</v>
      </c>
      <c r="AJ63" s="32" t="str">
        <f t="shared" si="39"/>
        <v>1+0.00212673032865851i</v>
      </c>
      <c r="AK63" s="32">
        <f t="shared" si="55"/>
        <v>1.0000022614883883</v>
      </c>
      <c r="AL63" s="32">
        <f t="shared" si="56"/>
        <v>2.1267271222796236E-3</v>
      </c>
      <c r="AM63" s="32" t="str">
        <f t="shared" si="40"/>
        <v>1+0.0459905433572404i</v>
      </c>
      <c r="AN63" s="32">
        <f t="shared" si="57"/>
        <v>1.0010570064078739</v>
      </c>
      <c r="AO63" s="32">
        <f t="shared" si="58"/>
        <v>4.5958159118252614E-2</v>
      </c>
      <c r="AP63" s="61" t="str">
        <f t="shared" si="59"/>
        <v>-0.142042371248788+3.2385753661492i</v>
      </c>
      <c r="AQ63" s="52">
        <f t="shared" si="60"/>
        <v>10.215426477267734</v>
      </c>
      <c r="AR63" s="64">
        <f t="shared" si="61"/>
        <v>92.511356063383914</v>
      </c>
      <c r="AS63" s="61" t="str">
        <f t="shared" si="62"/>
        <v>53.6749828212377+387.638100941445i</v>
      </c>
      <c r="AT63" s="67">
        <f t="shared" si="63"/>
        <v>51.851008401596431</v>
      </c>
      <c r="AU63" s="64">
        <f t="shared" si="64"/>
        <v>82.116568454278422</v>
      </c>
    </row>
    <row r="64" spans="1:48" x14ac:dyDescent="0.25">
      <c r="N64" s="11">
        <v>46</v>
      </c>
      <c r="O64" s="53">
        <f t="shared" si="41"/>
        <v>28.840315031266066</v>
      </c>
      <c r="P64" s="51" t="str">
        <f t="shared" si="32"/>
        <v>122.692307692308</v>
      </c>
      <c r="Q64" s="18" t="str">
        <f t="shared" si="33"/>
        <v>1+0.185739269750354i</v>
      </c>
      <c r="R64" s="18">
        <f t="shared" si="42"/>
        <v>1.0171032771195827</v>
      </c>
      <c r="S64" s="18">
        <f t="shared" si="43"/>
        <v>0.1836464771315266</v>
      </c>
      <c r="T64" s="18" t="str">
        <f t="shared" si="34"/>
        <v>1+0.0000371478539500708i</v>
      </c>
      <c r="U64" s="18">
        <f t="shared" si="44"/>
        <v>1.0000000006899814</v>
      </c>
      <c r="V64" s="18">
        <f t="shared" si="45"/>
        <v>3.7147853932983246E-5</v>
      </c>
      <c r="W64" s="32" t="str">
        <f t="shared" si="35"/>
        <v>1-0.00175967459751394i</v>
      </c>
      <c r="X64" s="18">
        <f t="shared" si="46"/>
        <v>1.000001548226146</v>
      </c>
      <c r="Y64" s="18">
        <f t="shared" si="47"/>
        <v>-1.759672781266428E-3</v>
      </c>
      <c r="Z64" s="32" t="str">
        <f t="shared" si="36"/>
        <v>0.999999972840367+0.000187778568449377i</v>
      </c>
      <c r="AA64" s="18">
        <f t="shared" si="48"/>
        <v>0.99999999047076282</v>
      </c>
      <c r="AB64" s="18">
        <f t="shared" si="49"/>
        <v>1.8777857134230039E-4</v>
      </c>
      <c r="AC64" s="69" t="str">
        <f t="shared" si="50"/>
        <v>118.558580005542-22.2553638402292i</v>
      </c>
      <c r="AD64" s="67">
        <f t="shared" si="51"/>
        <v>41.629059165864689</v>
      </c>
      <c r="AE64" s="64">
        <f t="shared" si="52"/>
        <v>-10.631620390145519</v>
      </c>
      <c r="AF64" s="32" t="str">
        <f t="shared" si="37"/>
        <v>-0.0000198412698412698</v>
      </c>
      <c r="AG64" s="32" t="str">
        <f t="shared" si="38"/>
        <v>0.0000062698329105973i</v>
      </c>
      <c r="AH64" s="32">
        <f t="shared" si="53"/>
        <v>6.2698329105973004E-6</v>
      </c>
      <c r="AI64" s="32">
        <f t="shared" si="54"/>
        <v>1.5707963267948966</v>
      </c>
      <c r="AJ64" s="32" t="str">
        <f t="shared" si="39"/>
        <v>1+0.0021762682417872i</v>
      </c>
      <c r="AK64" s="32">
        <f t="shared" si="55"/>
        <v>1.0000023680689263</v>
      </c>
      <c r="AL64" s="32">
        <f t="shared" si="56"/>
        <v>2.176264806090763E-3</v>
      </c>
      <c r="AM64" s="32" t="str">
        <f t="shared" si="40"/>
        <v>1+0.0470618007286482i</v>
      </c>
      <c r="AN64" s="32">
        <f t="shared" si="57"/>
        <v>1.0011067940473799</v>
      </c>
      <c r="AO64" s="32">
        <f t="shared" si="58"/>
        <v>4.7027102463030178E-2</v>
      </c>
      <c r="AP64" s="61" t="str">
        <f t="shared" si="59"/>
        <v>-0.142042340970957+3.16487030340109i</v>
      </c>
      <c r="AQ64" s="52">
        <f t="shared" si="60"/>
        <v>10.015857534103201</v>
      </c>
      <c r="AR64" s="64">
        <f t="shared" si="61"/>
        <v>92.569763705369056</v>
      </c>
      <c r="AS64" s="61" t="str">
        <f t="shared" si="62"/>
        <v>53.5950018631482+378.383733051969i</v>
      </c>
      <c r="AT64" s="67">
        <f t="shared" si="63"/>
        <v>51.644916699967894</v>
      </c>
      <c r="AU64" s="64">
        <f t="shared" si="64"/>
        <v>81.938143315223542</v>
      </c>
    </row>
    <row r="65" spans="14:47" x14ac:dyDescent="0.25">
      <c r="N65" s="11">
        <v>47</v>
      </c>
      <c r="O65" s="53">
        <f t="shared" si="41"/>
        <v>29.512092266663863</v>
      </c>
      <c r="P65" s="51" t="str">
        <f t="shared" si="32"/>
        <v>122.692307692308</v>
      </c>
      <c r="Q65" s="18" t="str">
        <f t="shared" si="33"/>
        <v>1+0.190065693126882i</v>
      </c>
      <c r="R65" s="18">
        <f t="shared" si="42"/>
        <v>1.0179022387753167</v>
      </c>
      <c r="S65" s="18">
        <f t="shared" si="43"/>
        <v>0.18782534998373265</v>
      </c>
      <c r="T65" s="18" t="str">
        <f t="shared" si="34"/>
        <v>1+0.0000380131386253764i</v>
      </c>
      <c r="U65" s="18">
        <f t="shared" si="44"/>
        <v>1.0000000007224994</v>
      </c>
      <c r="V65" s="18">
        <f t="shared" si="45"/>
        <v>3.8013138607066752E-5</v>
      </c>
      <c r="W65" s="32" t="str">
        <f t="shared" si="35"/>
        <v>1-0.00180066268433047i</v>
      </c>
      <c r="X65" s="18">
        <f t="shared" si="46"/>
        <v>1.0000016211917373</v>
      </c>
      <c r="Y65" s="18">
        <f t="shared" si="47"/>
        <v>-1.8006607381863683E-3</v>
      </c>
      <c r="Z65" s="32" t="str">
        <f t="shared" si="36"/>
        <v>0.999999971560373+0.000192152493194759i</v>
      </c>
      <c r="AA65" s="18">
        <f t="shared" si="48"/>
        <v>0.99999999002166362</v>
      </c>
      <c r="AB65" s="18">
        <f t="shared" si="49"/>
        <v>1.9215249629458227E-4</v>
      </c>
      <c r="AC65" s="69" t="str">
        <f t="shared" si="50"/>
        <v>118.370555790327-22.7380209055867i</v>
      </c>
      <c r="AD65" s="67">
        <f t="shared" si="51"/>
        <v>41.622239485082666</v>
      </c>
      <c r="AE65" s="64">
        <f t="shared" si="52"/>
        <v>-10.873601634920822</v>
      </c>
      <c r="AF65" s="32" t="str">
        <f t="shared" si="37"/>
        <v>-0.0000198412698412698</v>
      </c>
      <c r="AG65" s="32" t="str">
        <f t="shared" si="38"/>
        <v>6.41587608018546E-06i</v>
      </c>
      <c r="AH65" s="32">
        <f t="shared" si="53"/>
        <v>6.4158760801854599E-6</v>
      </c>
      <c r="AI65" s="32">
        <f t="shared" si="54"/>
        <v>1.5707963267948966</v>
      </c>
      <c r="AJ65" s="32" t="str">
        <f t="shared" si="39"/>
        <v>1+0.002226960041144i</v>
      </c>
      <c r="AK65" s="32">
        <f t="shared" si="55"/>
        <v>1.000002479672438</v>
      </c>
      <c r="AL65" s="32">
        <f t="shared" si="56"/>
        <v>2.2269563597294337E-3</v>
      </c>
      <c r="AM65" s="32" t="str">
        <f t="shared" si="40"/>
        <v>1+0.048158010889739i</v>
      </c>
      <c r="AN65" s="32">
        <f t="shared" si="57"/>
        <v>1.0011589254523261</v>
      </c>
      <c r="AO65" s="32">
        <f t="shared" si="58"/>
        <v>4.8120833352354404E-2</v>
      </c>
      <c r="AP65" s="61" t="str">
        <f t="shared" si="59"/>
        <v>-0.142042309266189+3.09284329677364i</v>
      </c>
      <c r="AQ65" s="52">
        <f t="shared" si="60"/>
        <v>9.8163088599728141</v>
      </c>
      <c r="AR65" s="64">
        <f t="shared" si="61"/>
        <v>92.629525457169976</v>
      </c>
      <c r="AS65" s="61" t="str">
        <f t="shared" si="62"/>
        <v>53.5115084461624+369.331341009056i</v>
      </c>
      <c r="AT65" s="67">
        <f t="shared" si="63"/>
        <v>51.438548345055494</v>
      </c>
      <c r="AU65" s="64">
        <f t="shared" si="64"/>
        <v>81.755923822249159</v>
      </c>
    </row>
    <row r="66" spans="14:47" x14ac:dyDescent="0.25">
      <c r="N66" s="11">
        <v>48</v>
      </c>
      <c r="O66" s="53">
        <f t="shared" si="41"/>
        <v>30.199517204020164</v>
      </c>
      <c r="P66" s="51" t="str">
        <f t="shared" si="32"/>
        <v>122.692307692308</v>
      </c>
      <c r="Q66" s="18" t="str">
        <f t="shared" si="33"/>
        <v>1+0.194492891849722i</v>
      </c>
      <c r="R66" s="18">
        <f t="shared" si="42"/>
        <v>1.0187381827437645</v>
      </c>
      <c r="S66" s="18">
        <f t="shared" si="43"/>
        <v>0.19209469922382719</v>
      </c>
      <c r="T66" s="18" t="str">
        <f t="shared" si="34"/>
        <v>1+0.0000388985783699445i</v>
      </c>
      <c r="U66" s="18">
        <f t="shared" si="44"/>
        <v>1.0000000007565497</v>
      </c>
      <c r="V66" s="18">
        <f t="shared" si="45"/>
        <v>3.889857835032536E-5</v>
      </c>
      <c r="W66" s="32" t="str">
        <f t="shared" si="35"/>
        <v>1-0.00184260550633682i</v>
      </c>
      <c r="X66" s="18">
        <f t="shared" si="46"/>
        <v>1.000001697596085</v>
      </c>
      <c r="Y66" s="18">
        <f t="shared" si="47"/>
        <v>-1.8426034210060353E-3</v>
      </c>
      <c r="Z66" s="32" t="str">
        <f t="shared" si="36"/>
        <v>0.999999970220054+0.000196628299735472i</v>
      </c>
      <c r="AA66" s="18">
        <f t="shared" si="48"/>
        <v>0.99999998955139868</v>
      </c>
      <c r="AB66" s="18">
        <f t="shared" si="49"/>
        <v>1.966283030569926E-4</v>
      </c>
      <c r="AC66" s="69" t="str">
        <f t="shared" si="50"/>
        <v>118.17430169692-23.229487424868i</v>
      </c>
      <c r="AD66" s="67">
        <f t="shared" si="51"/>
        <v>41.615109864038928</v>
      </c>
      <c r="AE66" s="64">
        <f t="shared" si="52"/>
        <v>-11.120826179229727</v>
      </c>
      <c r="AF66" s="32" t="str">
        <f t="shared" si="37"/>
        <v>-0.0000198412698412698</v>
      </c>
      <c r="AG66" s="32" t="str">
        <f t="shared" si="38"/>
        <v>0.0000065653210321955i</v>
      </c>
      <c r="AH66" s="32">
        <f t="shared" si="53"/>
        <v>6.5653210321955E-6</v>
      </c>
      <c r="AI66" s="32">
        <f t="shared" si="54"/>
        <v>1.5707963267948966</v>
      </c>
      <c r="AJ66" s="32" t="str">
        <f t="shared" si="39"/>
        <v>1+0.00227883260419191i</v>
      </c>
      <c r="AK66" s="32">
        <f t="shared" si="55"/>
        <v>1.000002596535648</v>
      </c>
      <c r="AL66" s="32">
        <f t="shared" si="56"/>
        <v>2.2788286594856849E-3</v>
      </c>
      <c r="AM66" s="32" t="str">
        <f t="shared" si="40"/>
        <v>1+0.0492797550656502i</v>
      </c>
      <c r="AN66" s="32">
        <f t="shared" si="57"/>
        <v>1.0012135108254034</v>
      </c>
      <c r="AO66" s="32">
        <f t="shared" si="58"/>
        <v>4.9239921223888712E-2</v>
      </c>
      <c r="AP66" s="61" t="str">
        <f t="shared" si="59"/>
        <v>-0.142042276067237+3.02245615659412i</v>
      </c>
      <c r="AQ66" s="52">
        <f t="shared" si="60"/>
        <v>9.6167814056946082</v>
      </c>
      <c r="AR66" s="64">
        <f t="shared" si="61"/>
        <v>92.690672405263484</v>
      </c>
      <c r="AS66" s="61" t="str">
        <f t="shared" si="62"/>
        <v>53.4243604961311+360.47621498077i</v>
      </c>
      <c r="AT66" s="67">
        <f t="shared" si="63"/>
        <v>51.231891269733524</v>
      </c>
      <c r="AU66" s="64">
        <f t="shared" si="64"/>
        <v>81.569846226033761</v>
      </c>
    </row>
    <row r="67" spans="14:47" x14ac:dyDescent="0.25">
      <c r="N67" s="11">
        <v>49</v>
      </c>
      <c r="O67" s="53">
        <f t="shared" si="41"/>
        <v>30.902954325135919</v>
      </c>
      <c r="P67" s="51" t="str">
        <f t="shared" si="32"/>
        <v>122.692307692308</v>
      </c>
      <c r="Q67" s="18" t="str">
        <f t="shared" si="33"/>
        <v>1+0.199023213278239i</v>
      </c>
      <c r="R67" s="18">
        <f t="shared" si="42"/>
        <v>1.0196127889662798</v>
      </c>
      <c r="S67" s="18">
        <f t="shared" si="43"/>
        <v>0.19645616566527627</v>
      </c>
      <c r="T67" s="18" t="str">
        <f t="shared" si="34"/>
        <v>1+0.0000398046426556479i</v>
      </c>
      <c r="U67" s="18">
        <f t="shared" si="44"/>
        <v>1.0000000007922047</v>
      </c>
      <c r="V67" s="18">
        <f t="shared" si="45"/>
        <v>3.9804642634625615E-5</v>
      </c>
      <c r="W67" s="32" t="str">
        <f t="shared" si="35"/>
        <v>1-0.0018855253021724i</v>
      </c>
      <c r="X67" s="18">
        <f t="shared" si="46"/>
        <v>1.0000017776012526</v>
      </c>
      <c r="Y67" s="18">
        <f t="shared" si="47"/>
        <v>-1.8855230677004211E-3</v>
      </c>
      <c r="Z67" s="32" t="str">
        <f t="shared" si="36"/>
        <v>0.999999968816569+0.000201208361203388i</v>
      </c>
      <c r="AA67" s="18">
        <f t="shared" si="48"/>
        <v>0.99999998905897169</v>
      </c>
      <c r="AB67" s="18">
        <f t="shared" si="49"/>
        <v>2.0120836476246131E-4</v>
      </c>
      <c r="AC67" s="69" t="str">
        <f t="shared" si="50"/>
        <v>117.96948737846-23.729808892369i</v>
      </c>
      <c r="AD67" s="67">
        <f t="shared" si="51"/>
        <v>41.607656760248432</v>
      </c>
      <c r="AE67" s="64">
        <f t="shared" si="52"/>
        <v>-11.373389417972698</v>
      </c>
      <c r="AF67" s="32" t="str">
        <f t="shared" si="37"/>
        <v>-0.0000198412698412698</v>
      </c>
      <c r="AG67" s="32" t="str">
        <f t="shared" si="38"/>
        <v>0.0000067182470043191i</v>
      </c>
      <c r="AH67" s="32">
        <f t="shared" si="53"/>
        <v>6.7182470043191003E-6</v>
      </c>
      <c r="AI67" s="32">
        <f t="shared" si="54"/>
        <v>1.5707963267948966</v>
      </c>
      <c r="AJ67" s="32" t="str">
        <f t="shared" si="39"/>
        <v>1+0.00233191343445049i</v>
      </c>
      <c r="AK67" s="32">
        <f t="shared" si="55"/>
        <v>1.0000027189064367</v>
      </c>
      <c r="AL67" s="32">
        <f t="shared" si="56"/>
        <v>2.3319092076222367E-3</v>
      </c>
      <c r="AM67" s="32" t="str">
        <f t="shared" si="40"/>
        <v>1+0.0504276280199918i</v>
      </c>
      <c r="AN67" s="32">
        <f t="shared" si="57"/>
        <v>1.001270665538406</v>
      </c>
      <c r="AO67" s="32">
        <f t="shared" si="58"/>
        <v>5.0384948214478122E-2</v>
      </c>
      <c r="AP67" s="61" t="str">
        <f t="shared" si="59"/>
        <v>-0.142042241303683+2.95367156266862i</v>
      </c>
      <c r="AQ67" s="52">
        <f t="shared" si="60"/>
        <v>9.4172761664711189</v>
      </c>
      <c r="AR67" s="64">
        <f t="shared" si="61"/>
        <v>92.753236327870354</v>
      </c>
      <c r="AS67" s="61" t="str">
        <f t="shared" si="62"/>
        <v>53.3334113202683+351.813755373132i</v>
      </c>
      <c r="AT67" s="67">
        <f t="shared" si="63"/>
        <v>51.024932926719544</v>
      </c>
      <c r="AU67" s="64">
        <f t="shared" si="64"/>
        <v>81.379846909897651</v>
      </c>
    </row>
    <row r="68" spans="14:47" x14ac:dyDescent="0.25">
      <c r="N68" s="11">
        <v>50</v>
      </c>
      <c r="O68" s="53">
        <f t="shared" si="41"/>
        <v>31.622776601683803</v>
      </c>
      <c r="P68" s="51" t="str">
        <f t="shared" si="32"/>
        <v>122.692307692308</v>
      </c>
      <c r="Q68" s="18" t="str">
        <f t="shared" si="33"/>
        <v>1+0.20365905944882i</v>
      </c>
      <c r="R68" s="18">
        <f t="shared" si="42"/>
        <v>1.0205278107408822</v>
      </c>
      <c r="S68" s="18">
        <f t="shared" si="43"/>
        <v>0.20091139777307926</v>
      </c>
      <c r="T68" s="18" t="str">
        <f t="shared" si="34"/>
        <v>1+0.0000407318118897641i</v>
      </c>
      <c r="U68" s="18">
        <f t="shared" si="44"/>
        <v>1.0000000008295402</v>
      </c>
      <c r="V68" s="18">
        <f t="shared" si="45"/>
        <v>4.0731811867238314E-5</v>
      </c>
      <c r="W68" s="32" t="str">
        <f t="shared" si="35"/>
        <v>1-0.00192944482848107i</v>
      </c>
      <c r="X68" s="18">
        <f t="shared" si="46"/>
        <v>1.0000018613769408</v>
      </c>
      <c r="Y68" s="18">
        <f t="shared" si="47"/>
        <v>-1.9294424342014482E-3</v>
      </c>
      <c r="Z68" s="32" t="str">
        <f t="shared" si="36"/>
        <v>0.999999967346939+0.000205895106007722i</v>
      </c>
      <c r="AA68" s="18">
        <f t="shared" si="48"/>
        <v>0.99999998854333672</v>
      </c>
      <c r="AB68" s="18">
        <f t="shared" si="49"/>
        <v>2.0589510982133781E-4</v>
      </c>
      <c r="AC68" s="69" t="str">
        <f t="shared" si="50"/>
        <v>117.75577199019-24.2390220727718i</v>
      </c>
      <c r="AD68" s="67">
        <f t="shared" si="51"/>
        <v>41.599866089825284</v>
      </c>
      <c r="AE68" s="64">
        <f t="shared" si="52"/>
        <v>-11.631387216668006</v>
      </c>
      <c r="AF68" s="32" t="str">
        <f t="shared" si="37"/>
        <v>-0.0000198412698412698</v>
      </c>
      <c r="AG68" s="32" t="str">
        <f t="shared" si="38"/>
        <v>0.0000068747350799309i</v>
      </c>
      <c r="AH68" s="32">
        <f t="shared" si="53"/>
        <v>6.8747350799308997E-6</v>
      </c>
      <c r="AI68" s="32">
        <f t="shared" si="54"/>
        <v>1.5707963267948966</v>
      </c>
      <c r="AJ68" s="32" t="str">
        <f t="shared" si="39"/>
        <v>1+0.00238623067607852i</v>
      </c>
      <c r="AK68" s="32">
        <f t="shared" si="55"/>
        <v>1.0000028470443669</v>
      </c>
      <c r="AL68" s="32">
        <f t="shared" si="56"/>
        <v>2.3862261469511435E-3</v>
      </c>
      <c r="AM68" s="32" t="str">
        <f t="shared" si="40"/>
        <v>1+0.0516022383701981i</v>
      </c>
      <c r="AN68" s="32">
        <f t="shared" si="57"/>
        <v>1.0013305103734804</v>
      </c>
      <c r="AO68" s="32">
        <f t="shared" si="58"/>
        <v>5.1556509415930131E-2</v>
      </c>
      <c r="AP68" s="61" t="str">
        <f t="shared" si="59"/>
        <v>-0.142042204901791+2.88645304449446i</v>
      </c>
      <c r="AQ68" s="52">
        <f t="shared" si="60"/>
        <v>9.2177941839404678</v>
      </c>
      <c r="AR68" s="64">
        <f t="shared" si="61"/>
        <v>92.817249708775222</v>
      </c>
      <c r="AS68" s="61" t="str">
        <f t="shared" si="62"/>
        <v>53.2385095641214+343.339470707759i</v>
      </c>
      <c r="AT68" s="67">
        <f t="shared" si="63"/>
        <v>50.817660273765746</v>
      </c>
      <c r="AU68" s="64">
        <f t="shared" si="64"/>
        <v>81.185862492107219</v>
      </c>
    </row>
    <row r="69" spans="14:47" x14ac:dyDescent="0.25">
      <c r="N69" s="11">
        <v>51</v>
      </c>
      <c r="O69" s="53">
        <f t="shared" si="41"/>
        <v>32.359365692962832</v>
      </c>
      <c r="P69" s="51" t="str">
        <f t="shared" si="32"/>
        <v>122.692307692308</v>
      </c>
      <c r="Q69" s="18" t="str">
        <f t="shared" si="33"/>
        <v>1+0.208402888348467i</v>
      </c>
      <c r="R69" s="18">
        <f t="shared" si="42"/>
        <v>1.0214850776550697</v>
      </c>
      <c r="S69" s="18">
        <f t="shared" si="43"/>
        <v>0.20546204997556874</v>
      </c>
      <c r="T69" s="18" t="str">
        <f t="shared" si="34"/>
        <v>1+0.0000416805776696934i</v>
      </c>
      <c r="U69" s="18">
        <f t="shared" si="44"/>
        <v>1.0000000008686352</v>
      </c>
      <c r="V69" s="18">
        <f t="shared" si="45"/>
        <v>4.1680577645556585E-5</v>
      </c>
      <c r="W69" s="32" t="str">
        <f t="shared" si="35"/>
        <v>1-0.00197438737197702i</v>
      </c>
      <c r="X69" s="18">
        <f t="shared" si="46"/>
        <v>1.0000019491008478</v>
      </c>
      <c r="Y69" s="18">
        <f t="shared" si="47"/>
        <v>-1.9743848064604531E-3</v>
      </c>
      <c r="Z69" s="32" t="str">
        <f t="shared" si="36"/>
        <v>0.999999965808047+0.000210691019122604i</v>
      </c>
      <c r="AA69" s="18">
        <f t="shared" si="48"/>
        <v>0.99999998800340018</v>
      </c>
      <c r="AB69" s="18">
        <f t="shared" si="49"/>
        <v>2.106910232089671E-4</v>
      </c>
      <c r="AC69" s="69" t="str">
        <f t="shared" si="50"/>
        <v>117.532804118116-24.7571542782714i</v>
      </c>
      <c r="AD69" s="67">
        <f t="shared" si="51"/>
        <v>41.591723210485711</v>
      </c>
      <c r="AE69" s="64">
        <f t="shared" si="52"/>
        <v>-11.894915815475409</v>
      </c>
      <c r="AF69" s="32" t="str">
        <f t="shared" si="37"/>
        <v>-0.0000198412698412698</v>
      </c>
      <c r="AG69" s="32" t="str">
        <f t="shared" si="38"/>
        <v>7.03486823107996E-06i</v>
      </c>
      <c r="AH69" s="32">
        <f t="shared" si="53"/>
        <v>7.0348682310799597E-6</v>
      </c>
      <c r="AI69" s="32">
        <f t="shared" si="54"/>
        <v>1.5707963267948966</v>
      </c>
      <c r="AJ69" s="32" t="str">
        <f t="shared" si="39"/>
        <v>1+0.00244181312879652i</v>
      </c>
      <c r="AK69" s="32">
        <f t="shared" si="55"/>
        <v>1.0000029812212341</v>
      </c>
      <c r="AL69" s="32">
        <f t="shared" si="56"/>
        <v>2.4418082757498814E-3</v>
      </c>
      <c r="AM69" s="32" t="str">
        <f t="shared" si="40"/>
        <v>1+0.0528042089102247i</v>
      </c>
      <c r="AN69" s="32">
        <f t="shared" si="57"/>
        <v>1.0013931717755193</v>
      </c>
      <c r="AO69" s="32">
        <f t="shared" si="58"/>
        <v>5.2755213133935559E-2</v>
      </c>
      <c r="AP69" s="61" t="str">
        <f t="shared" si="59"/>
        <v>-0.142042166784351+2.82076496192303i</v>
      </c>
      <c r="AQ69" s="52">
        <f t="shared" si="60"/>
        <v>9.0183365483200149</v>
      </c>
      <c r="AR69" s="64">
        <f t="shared" si="61"/>
        <v>92.88274575130707</v>
      </c>
      <c r="AS69" s="61" t="str">
        <f t="shared" si="62"/>
        <v>53.1394991798929+335.048975570045i</v>
      </c>
      <c r="AT69" s="67">
        <f t="shared" si="63"/>
        <v>50.610059758805725</v>
      </c>
      <c r="AU69" s="64">
        <f t="shared" si="64"/>
        <v>80.987829935831684</v>
      </c>
    </row>
    <row r="70" spans="14:47" x14ac:dyDescent="0.25">
      <c r="N70" s="11">
        <v>52</v>
      </c>
      <c r="O70" s="53">
        <f t="shared" si="41"/>
        <v>33.113112148259127</v>
      </c>
      <c r="P70" s="51" t="str">
        <f t="shared" si="32"/>
        <v>122.692307692308</v>
      </c>
      <c r="Q70" s="18" t="str">
        <f t="shared" si="33"/>
        <v>1+0.213257215218055i</v>
      </c>
      <c r="R70" s="18">
        <f t="shared" si="42"/>
        <v>1.02248649861138</v>
      </c>
      <c r="S70" s="18">
        <f t="shared" si="43"/>
        <v>0.21010978083868806</v>
      </c>
      <c r="T70" s="18" t="str">
        <f t="shared" si="34"/>
        <v>1+0.0000426514430436111i</v>
      </c>
      <c r="U70" s="18">
        <f t="shared" si="44"/>
        <v>1.0000000009095726</v>
      </c>
      <c r="V70" s="18">
        <f t="shared" si="45"/>
        <v>4.2651443017748038E-5</v>
      </c>
      <c r="W70" s="32" t="str">
        <f t="shared" si="35"/>
        <v>1-0.0020203767617917i</v>
      </c>
      <c r="X70" s="18">
        <f t="shared" si="46"/>
        <v>1.0000020409590471</v>
      </c>
      <c r="Y70" s="18">
        <f t="shared" si="47"/>
        <v>-2.0203740127914737E-3</v>
      </c>
      <c r="Z70" s="32" t="str">
        <f t="shared" si="36"/>
        <v>0.99999996419663+0.000215598643404652i</v>
      </c>
      <c r="AA70" s="18">
        <f t="shared" si="48"/>
        <v>0.99999998743801799</v>
      </c>
      <c r="AB70" s="18">
        <f t="shared" si="49"/>
        <v>2.1559864778326893E-4</v>
      </c>
      <c r="AC70" s="69" t="str">
        <f t="shared" si="50"/>
        <v>117.300221736371-25.2842226107449i</v>
      </c>
      <c r="AD70" s="67">
        <f t="shared" si="51"/>
        <v>41.583212904459813</v>
      </c>
      <c r="AE70" s="64">
        <f t="shared" si="52"/>
        <v>-12.164071725358053</v>
      </c>
      <c r="AF70" s="32" t="str">
        <f t="shared" si="37"/>
        <v>-0.0000198412698412698</v>
      </c>
      <c r="AG70" s="32" t="str">
        <f t="shared" si="38"/>
        <v>7.19873136248263E-06i</v>
      </c>
      <c r="AH70" s="32">
        <f t="shared" si="53"/>
        <v>7.1987313624826303E-6</v>
      </c>
      <c r="AI70" s="32">
        <f t="shared" si="54"/>
        <v>1.5707963267948966</v>
      </c>
      <c r="AJ70" s="32" t="str">
        <f t="shared" si="39"/>
        <v>1+0.00249869026315663i</v>
      </c>
      <c r="AK70" s="32">
        <f t="shared" si="55"/>
        <v>1.000003121721643</v>
      </c>
      <c r="AL70" s="32">
        <f t="shared" si="56"/>
        <v>2.4986850630243445E-3</v>
      </c>
      <c r="AM70" s="32" t="str">
        <f t="shared" si="40"/>
        <v>1+0.0540341769407621i</v>
      </c>
      <c r="AN70" s="32">
        <f t="shared" si="57"/>
        <v>1.0014587821162015</v>
      </c>
      <c r="AO70" s="32">
        <f t="shared" si="58"/>
        <v>5.3981681150006643E-2</v>
      </c>
      <c r="AP70" s="61" t="str">
        <f t="shared" si="59"/>
        <v>-0.142042126870514+2.75657248626289i</v>
      </c>
      <c r="AQ70" s="52">
        <f t="shared" si="60"/>
        <v>8.8189044006466766</v>
      </c>
      <c r="AR70" s="64">
        <f t="shared" si="61"/>
        <v>92.949758392472617</v>
      </c>
      <c r="AS70" s="61" t="str">
        <f t="shared" si="62"/>
        <v>53.0362194075084+326.937988626914i</v>
      </c>
      <c r="AT70" s="67">
        <f t="shared" si="63"/>
        <v>50.402117305106479</v>
      </c>
      <c r="AU70" s="64">
        <f t="shared" si="64"/>
        <v>80.785686667114561</v>
      </c>
    </row>
    <row r="71" spans="14:47" x14ac:dyDescent="0.25">
      <c r="N71" s="11">
        <v>53</v>
      </c>
      <c r="O71" s="53">
        <f t="shared" si="41"/>
        <v>33.884415613920268</v>
      </c>
      <c r="P71" s="51" t="str">
        <f t="shared" si="32"/>
        <v>122.692307692308</v>
      </c>
      <c r="Q71" s="18" t="str">
        <f t="shared" si="33"/>
        <v>1+0.218224613885944i</v>
      </c>
      <c r="R71" s="18">
        <f t="shared" si="42"/>
        <v>1.0235340649463844</v>
      </c>
      <c r="S71" s="18">
        <f t="shared" si="43"/>
        <v>0.21485625109622281</v>
      </c>
      <c r="T71" s="18" t="str">
        <f t="shared" si="34"/>
        <v>1+0.0000436449227771888i</v>
      </c>
      <c r="U71" s="18">
        <f t="shared" si="44"/>
        <v>1.0000000009524397</v>
      </c>
      <c r="V71" s="18">
        <f t="shared" si="45"/>
        <v>4.3644922749476029E-5</v>
      </c>
      <c r="W71" s="32" t="str">
        <f t="shared" si="35"/>
        <v>1-0.00206743738210832i</v>
      </c>
      <c r="X71" s="18">
        <f t="shared" si="46"/>
        <v>1.0000021371463808</v>
      </c>
      <c r="Y71" s="18">
        <f t="shared" si="47"/>
        <v>-2.0674344365018476E-3</v>
      </c>
      <c r="Z71" s="32" t="str">
        <f t="shared" si="36"/>
        <v>0.999999962509269+0.000220620580941217i</v>
      </c>
      <c r="AA71" s="18">
        <f t="shared" si="48"/>
        <v>0.99999998684599012</v>
      </c>
      <c r="AB71" s="18">
        <f t="shared" si="49"/>
        <v>2.206205856329896E-4</v>
      </c>
      <c r="AC71" s="69" t="str">
        <f t="shared" si="50"/>
        <v>117.057652196581-25.8202331686977i</v>
      </c>
      <c r="AD71" s="67">
        <f t="shared" si="51"/>
        <v>41.574319361359784</v>
      </c>
      <c r="AE71" s="64">
        <f t="shared" si="52"/>
        <v>-12.438951616007994</v>
      </c>
      <c r="AF71" s="32" t="str">
        <f t="shared" si="37"/>
        <v>-0.0000198412698412698</v>
      </c>
      <c r="AG71" s="32" t="str">
        <f t="shared" si="38"/>
        <v>7.36641135654017E-06i</v>
      </c>
      <c r="AH71" s="32">
        <f t="shared" si="53"/>
        <v>7.3664113565401703E-6</v>
      </c>
      <c r="AI71" s="32">
        <f t="shared" si="54"/>
        <v>1.5707963267948966</v>
      </c>
      <c r="AJ71" s="32" t="str">
        <f t="shared" si="39"/>
        <v>1+0.00255689223616832i</v>
      </c>
      <c r="AK71" s="32">
        <f t="shared" si="55"/>
        <v>1.0000032688436111</v>
      </c>
      <c r="AL71" s="32">
        <f t="shared" si="56"/>
        <v>2.5568866641271699E-3</v>
      </c>
      <c r="AM71" s="32" t="str">
        <f t="shared" si="40"/>
        <v>1+0.05529279460714i</v>
      </c>
      <c r="AN71" s="32">
        <f t="shared" si="57"/>
        <v>1.0015274799702041</v>
      </c>
      <c r="AO71" s="32">
        <f t="shared" si="58"/>
        <v>5.5236548986292058E-2</v>
      </c>
      <c r="AP71" s="61" t="str">
        <f t="shared" si="59"/>
        <v>-0.142042085075618+2.69384158181309i</v>
      </c>
      <c r="AQ71" s="52">
        <f t="shared" si="60"/>
        <v>8.6194989351181004</v>
      </c>
      <c r="AR71" s="64">
        <f t="shared" si="61"/>
        <v>93.018322317234379</v>
      </c>
      <c r="AS71" s="61" t="str">
        <f t="shared" si="62"/>
        <v>52.9285047698886+319.002330712985i</v>
      </c>
      <c r="AT71" s="67">
        <f t="shared" si="63"/>
        <v>50.1938182964779</v>
      </c>
      <c r="AU71" s="64">
        <f t="shared" si="64"/>
        <v>80.579370701226395</v>
      </c>
    </row>
    <row r="72" spans="14:47" x14ac:dyDescent="0.25">
      <c r="N72" s="11">
        <v>54</v>
      </c>
      <c r="O72" s="53">
        <f t="shared" si="41"/>
        <v>34.67368504525318</v>
      </c>
      <c r="P72" s="51" t="str">
        <f t="shared" si="32"/>
        <v>122.692307692308</v>
      </c>
      <c r="Q72" s="18" t="str">
        <f t="shared" si="33"/>
        <v>1+0.22330771813266i</v>
      </c>
      <c r="R72" s="18">
        <f t="shared" si="42"/>
        <v>1.0246298536435563</v>
      </c>
      <c r="S72" s="18">
        <f t="shared" si="43"/>
        <v>0.21970312152944274</v>
      </c>
      <c r="T72" s="18" t="str">
        <f t="shared" si="34"/>
        <v>1+0.000044661543626532i</v>
      </c>
      <c r="U72" s="18">
        <f t="shared" si="44"/>
        <v>1.0000000009973267</v>
      </c>
      <c r="V72" s="18">
        <f t="shared" si="45"/>
        <v>4.4661543596837233E-5</v>
      </c>
      <c r="W72" s="32" t="str">
        <f t="shared" si="35"/>
        <v>1-0.00211559418509072i</v>
      </c>
      <c r="X72" s="18">
        <f t="shared" si="46"/>
        <v>1.000002237866874</v>
      </c>
      <c r="Y72" s="18">
        <f t="shared" si="47"/>
        <v>-2.1155910288169003E-3</v>
      </c>
      <c r="Z72" s="32" t="str">
        <f t="shared" si="36"/>
        <v>0.999999960742386+0.000225759494430056i</v>
      </c>
      <c r="AA72" s="18">
        <f t="shared" si="48"/>
        <v>0.99999998622606123</v>
      </c>
      <c r="AB72" s="18">
        <f t="shared" si="49"/>
        <v>2.2575949945738077E-4</v>
      </c>
      <c r="AC72" s="69" t="str">
        <f t="shared" si="50"/>
        <v>116.80471225277-26.3651802189245i</v>
      </c>
      <c r="AD72" s="67">
        <f t="shared" si="51"/>
        <v>41.565026161059528</v>
      </c>
      <c r="AE72" s="64">
        <f t="shared" si="52"/>
        <v>-12.719652195163054</v>
      </c>
      <c r="AF72" s="32" t="str">
        <f t="shared" si="37"/>
        <v>-0.0000198412698412698</v>
      </c>
      <c r="AG72" s="32" t="str">
        <f t="shared" si="38"/>
        <v>7.53799711940491E-06i</v>
      </c>
      <c r="AH72" s="32">
        <f t="shared" si="53"/>
        <v>7.5379971194049096E-6</v>
      </c>
      <c r="AI72" s="32">
        <f t="shared" si="54"/>
        <v>1.5707963267948966</v>
      </c>
      <c r="AJ72" s="32" t="str">
        <f t="shared" si="39"/>
        <v>1+0.00261644990728811i</v>
      </c>
      <c r="AK72" s="32">
        <f t="shared" si="55"/>
        <v>1.0000034228992005</v>
      </c>
      <c r="AL72" s="32">
        <f t="shared" si="56"/>
        <v>2.6164439367395518E-3</v>
      </c>
      <c r="AM72" s="32" t="str">
        <f t="shared" si="40"/>
        <v>1+0.0565807292451054i</v>
      </c>
      <c r="AN72" s="32">
        <f t="shared" si="57"/>
        <v>1.0015994104041335</v>
      </c>
      <c r="AO72" s="32">
        <f t="shared" si="58"/>
        <v>5.6520466173116311E-2</v>
      </c>
      <c r="AP72" s="61" t="str">
        <f t="shared" si="59"/>
        <v>-0.142042041311017+2.63253898781712i</v>
      </c>
      <c r="AQ72" s="52">
        <f t="shared" si="60"/>
        <v>8.4201214015395678</v>
      </c>
      <c r="AR72" s="64">
        <f t="shared" si="61"/>
        <v>93.088472972923725</v>
      </c>
      <c r="AS72" s="61" t="str">
        <f t="shared" si="62"/>
        <v>52.816185084014+311.237922984006i</v>
      </c>
      <c r="AT72" s="67">
        <f t="shared" si="63"/>
        <v>49.985147562599096</v>
      </c>
      <c r="AU72" s="64">
        <f t="shared" si="64"/>
        <v>80.368820777760689</v>
      </c>
    </row>
    <row r="73" spans="14:47" x14ac:dyDescent="0.25">
      <c r="N73" s="11">
        <v>55</v>
      </c>
      <c r="O73" s="53">
        <f t="shared" si="41"/>
        <v>35.481338923357555</v>
      </c>
      <c r="P73" s="51" t="str">
        <f t="shared" si="32"/>
        <v>122.692307692308</v>
      </c>
      <c r="Q73" s="18" t="str">
        <f t="shared" si="33"/>
        <v>1+0.228509223087356i</v>
      </c>
      <c r="R73" s="18">
        <f t="shared" si="42"/>
        <v>1.0257760306402111</v>
      </c>
      <c r="S73" s="18">
        <f t="shared" si="43"/>
        <v>0.22465205068959598</v>
      </c>
      <c r="T73" s="18" t="str">
        <f t="shared" si="34"/>
        <v>1+0.0000457018446174713i</v>
      </c>
      <c r="U73" s="18">
        <f t="shared" si="44"/>
        <v>1.0000000010443293</v>
      </c>
      <c r="V73" s="18">
        <f t="shared" si="45"/>
        <v>4.5701844585652787E-5</v>
      </c>
      <c r="W73" s="32" t="str">
        <f t="shared" si="35"/>
        <v>1-0.00216487270411324i</v>
      </c>
      <c r="X73" s="18">
        <f t="shared" si="46"/>
        <v>1.0000023433341669</v>
      </c>
      <c r="Y73" s="18">
        <f t="shared" si="47"/>
        <v>-2.1648693221053379E-3</v>
      </c>
      <c r="Z73" s="32" t="str">
        <f t="shared" si="36"/>
        <v>0.999999958892231+0.000231018108591122i</v>
      </c>
      <c r="AA73" s="18">
        <f t="shared" si="48"/>
        <v>0.99999998557691505</v>
      </c>
      <c r="AB73" s="18">
        <f t="shared" si="49"/>
        <v>2.3101811397799768E-4</v>
      </c>
      <c r="AC73" s="69" t="str">
        <f t="shared" si="50"/>
        <v>116.541008125528-26.9190453330231i</v>
      </c>
      <c r="AD73" s="67">
        <f t="shared" si="51"/>
        <v>41.555316256645028</v>
      </c>
      <c r="AE73" s="64">
        <f t="shared" si="52"/>
        <v>-13.006270078938163</v>
      </c>
      <c r="AF73" s="32" t="str">
        <f t="shared" si="37"/>
        <v>-0.0000198412698412698</v>
      </c>
      <c r="AG73" s="32" t="str">
        <f t="shared" si="38"/>
        <v>7.71357962811956E-06i</v>
      </c>
      <c r="AH73" s="32">
        <f t="shared" si="53"/>
        <v>7.7135796281195599E-6</v>
      </c>
      <c r="AI73" s="32">
        <f t="shared" si="54"/>
        <v>1.5707963267948966</v>
      </c>
      <c r="AJ73" s="32" t="str">
        <f t="shared" si="39"/>
        <v>1+0.00267739485478155i</v>
      </c>
      <c r="AK73" s="32">
        <f t="shared" si="55"/>
        <v>1.0000035842151809</v>
      </c>
      <c r="AL73" s="32">
        <f t="shared" si="56"/>
        <v>2.6773884572247452E-3</v>
      </c>
      <c r="AM73" s="32" t="str">
        <f t="shared" si="40"/>
        <v>1+0.0578986637346511i</v>
      </c>
      <c r="AN73" s="32">
        <f t="shared" si="57"/>
        <v>1.0016747252787495</v>
      </c>
      <c r="AO73" s="32">
        <f t="shared" si="58"/>
        <v>5.7834096519060872E-2</v>
      </c>
      <c r="AP73" s="61" t="str">
        <f t="shared" si="59"/>
        <v>-0.142041995483883+2.57263220082746i</v>
      </c>
      <c r="AQ73" s="52">
        <f t="shared" si="60"/>
        <v>8.2207731078797082</v>
      </c>
      <c r="AR73" s="64">
        <f t="shared" si="61"/>
        <v>93.160246583778402</v>
      </c>
      <c r="AS73" s="61" t="str">
        <f t="shared" si="62"/>
        <v>52.699085489416+303.640785136252i</v>
      </c>
      <c r="AT73" s="67">
        <f t="shared" si="63"/>
        <v>49.776089364524758</v>
      </c>
      <c r="AU73" s="64">
        <f t="shared" si="64"/>
        <v>80.153976504840259</v>
      </c>
    </row>
    <row r="74" spans="14:47" x14ac:dyDescent="0.25">
      <c r="N74" s="11">
        <v>56</v>
      </c>
      <c r="O74" s="53">
        <f t="shared" si="41"/>
        <v>36.307805477010156</v>
      </c>
      <c r="P74" s="51" t="str">
        <f t="shared" si="32"/>
        <v>122.692307692308</v>
      </c>
      <c r="Q74" s="18" t="str">
        <f t="shared" si="33"/>
        <v>1+0.233831886656812i</v>
      </c>
      <c r="R74" s="18">
        <f t="shared" si="42"/>
        <v>1.0269748542284198</v>
      </c>
      <c r="S74" s="18">
        <f t="shared" si="43"/>
        <v>0.22970469245677821</v>
      </c>
      <c r="T74" s="18" t="str">
        <f t="shared" si="34"/>
        <v>1+0.0000467663773313625i</v>
      </c>
      <c r="U74" s="18">
        <f t="shared" si="44"/>
        <v>1.000000001093547</v>
      </c>
      <c r="V74" s="18">
        <f t="shared" si="45"/>
        <v>4.6766377297268344E-5</v>
      </c>
      <c r="W74" s="32" t="str">
        <f t="shared" si="35"/>
        <v>1-0.00221529906729897i</v>
      </c>
      <c r="X74" s="18">
        <f t="shared" si="46"/>
        <v>1.0000024537719683</v>
      </c>
      <c r="Y74" s="18">
        <f t="shared" si="47"/>
        <v>-2.2152954434126924E-3</v>
      </c>
      <c r="Z74" s="32" t="str">
        <f t="shared" si="36"/>
        <v>0.999999956954882+0.00023639921161125i</v>
      </c>
      <c r="AA74" s="18">
        <f t="shared" si="48"/>
        <v>0.99999998489717634</v>
      </c>
      <c r="AB74" s="18">
        <f t="shared" si="49"/>
        <v>2.3639921738339119E-4</v>
      </c>
      <c r="AC74" s="69" t="str">
        <f t="shared" si="50"/>
        <v>116.266135609419-27.4817964891595i</v>
      </c>
      <c r="AD74" s="67">
        <f t="shared" si="51"/>
        <v>41.545171957504117</v>
      </c>
      <c r="AE74" s="64">
        <f t="shared" si="52"/>
        <v>-13.2989016528</v>
      </c>
      <c r="AF74" s="32" t="str">
        <f t="shared" si="37"/>
        <v>-0.0000198412698412698</v>
      </c>
      <c r="AG74" s="32" t="str">
        <f t="shared" si="38"/>
        <v>7.89325197885433E-06i</v>
      </c>
      <c r="AH74" s="32">
        <f t="shared" si="53"/>
        <v>7.8932519788543305E-6</v>
      </c>
      <c r="AI74" s="32">
        <f t="shared" si="54"/>
        <v>1.5707963267948966</v>
      </c>
      <c r="AJ74" s="32" t="str">
        <f t="shared" si="39"/>
        <v>1+0.00273975939246652i</v>
      </c>
      <c r="AK74" s="32">
        <f t="shared" si="55"/>
        <v>1.0000037531337214</v>
      </c>
      <c r="AL74" s="32">
        <f t="shared" si="56"/>
        <v>2.7397525373622869E-3</v>
      </c>
      <c r="AM74" s="32" t="str">
        <f t="shared" si="40"/>
        <v>1+0.0592472968620885i</v>
      </c>
      <c r="AN74" s="32">
        <f t="shared" si="57"/>
        <v>1.0017535835650724</v>
      </c>
      <c r="AO74" s="32">
        <f t="shared" si="58"/>
        <v>5.9178118383397808E-2</v>
      </c>
      <c r="AP74" s="61" t="str">
        <f t="shared" si="59"/>
        <v>-0.142041947497014+2.51408945747192i</v>
      </c>
      <c r="AQ74" s="52">
        <f t="shared" si="60"/>
        <v>8.021455422941294</v>
      </c>
      <c r="AR74" s="64">
        <f t="shared" si="61"/>
        <v>93.233680165593114</v>
      </c>
      <c r="AS74" s="61" t="str">
        <f t="shared" si="62"/>
        <v>52.5770264958709+296.207033690678i</v>
      </c>
      <c r="AT74" s="67">
        <f t="shared" si="63"/>
        <v>49.566627380445425</v>
      </c>
      <c r="AU74" s="64">
        <f t="shared" si="64"/>
        <v>79.93477851279313</v>
      </c>
    </row>
    <row r="75" spans="14:47" x14ac:dyDescent="0.25">
      <c r="N75" s="11">
        <v>57</v>
      </c>
      <c r="O75" s="53">
        <f t="shared" si="41"/>
        <v>37.15352290971726</v>
      </c>
      <c r="P75" s="51" t="str">
        <f t="shared" si="32"/>
        <v>122.692307692308</v>
      </c>
      <c r="Q75" s="18" t="str">
        <f t="shared" si="33"/>
        <v>1+0.239278530987703i</v>
      </c>
      <c r="R75" s="18">
        <f t="shared" si="42"/>
        <v>1.0282286785494914</v>
      </c>
      <c r="S75" s="18">
        <f t="shared" si="43"/>
        <v>0.23486269342875052</v>
      </c>
      <c r="T75" s="18" t="str">
        <f t="shared" si="34"/>
        <v>1+0.0000478557061975407i</v>
      </c>
      <c r="U75" s="18">
        <f t="shared" si="44"/>
        <v>1.0000000011450842</v>
      </c>
      <c r="V75" s="18">
        <f t="shared" si="45"/>
        <v>4.7855706161008156E-5</v>
      </c>
      <c r="W75" s="32" t="str">
        <f t="shared" si="35"/>
        <v>1-0.00226690001137313i</v>
      </c>
      <c r="X75" s="18">
        <f t="shared" si="46"/>
        <v>1.0000025694145298</v>
      </c>
      <c r="Y75" s="18">
        <f t="shared" si="47"/>
        <v>-2.2668961283095626E-3</v>
      </c>
      <c r="Z75" s="32" t="str">
        <f t="shared" si="36"/>
        <v>0.999999954926228+0.000241905656622488i</v>
      </c>
      <c r="AA75" s="18">
        <f t="shared" si="48"/>
        <v>0.99999998418540215</v>
      </c>
      <c r="AB75" s="18">
        <f t="shared" si="49"/>
        <v>2.4190566280744876E-4</v>
      </c>
      <c r="AC75" s="69" t="str">
        <f t="shared" si="50"/>
        <v>115.979680227744-28.0533871397445i</v>
      </c>
      <c r="AD75" s="67">
        <f t="shared" si="51"/>
        <v>41.534574912625587</v>
      </c>
      <c r="AE75" s="64">
        <f t="shared" si="52"/>
        <v>-13.597642922819528</v>
      </c>
      <c r="AF75" s="32" t="str">
        <f t="shared" si="37"/>
        <v>-0.0000198412698412698</v>
      </c>
      <c r="AG75" s="32" t="str">
        <f t="shared" si="38"/>
        <v>8.07710943626783E-06i</v>
      </c>
      <c r="AH75" s="32">
        <f t="shared" si="53"/>
        <v>8.0771094362678302E-6</v>
      </c>
      <c r="AI75" s="32">
        <f t="shared" si="54"/>
        <v>1.5707963267948966</v>
      </c>
      <c r="AJ75" s="32" t="str">
        <f t="shared" si="39"/>
        <v>1+0.00280357658684636i</v>
      </c>
      <c r="AK75" s="32">
        <f t="shared" si="55"/>
        <v>1.0000039300131167</v>
      </c>
      <c r="AL75" s="32">
        <f t="shared" si="56"/>
        <v>2.8035692414713938E-3</v>
      </c>
      <c r="AM75" s="32" t="str">
        <f t="shared" si="40"/>
        <v>1+0.0606273436905526i</v>
      </c>
      <c r="AN75" s="32">
        <f t="shared" si="57"/>
        <v>1.0018361516749994</v>
      </c>
      <c r="AO75" s="32">
        <f t="shared" si="58"/>
        <v>6.055322495065403E-2</v>
      </c>
      <c r="AP75" s="61" t="str">
        <f t="shared" si="59"/>
        <v>-0.142041897248628+2.45687971761224i</v>
      </c>
      <c r="AQ75" s="52">
        <f t="shared" si="60"/>
        <v>7.8221697791507481</v>
      </c>
      <c r="AR75" s="64">
        <f t="shared" si="61"/>
        <v>93.308811540469733</v>
      </c>
      <c r="AS75" s="61" t="str">
        <f t="shared" si="62"/>
        <v>52.4498240521244+288.932880340277i</v>
      </c>
      <c r="AT75" s="67">
        <f t="shared" si="63"/>
        <v>49.356744691776335</v>
      </c>
      <c r="AU75" s="64">
        <f t="shared" si="64"/>
        <v>79.711168617650216</v>
      </c>
    </row>
    <row r="76" spans="14:47" x14ac:dyDescent="0.25">
      <c r="N76" s="11">
        <v>58</v>
      </c>
      <c r="O76" s="53">
        <f t="shared" si="41"/>
        <v>38.018939632056139</v>
      </c>
      <c r="P76" s="51" t="str">
        <f t="shared" si="32"/>
        <v>122.692307692308</v>
      </c>
      <c r="Q76" s="18" t="str">
        <f t="shared" si="33"/>
        <v>1+0.24485204396295i</v>
      </c>
      <c r="R76" s="18">
        <f t="shared" si="42"/>
        <v>1.0295399571812813</v>
      </c>
      <c r="S76" s="18">
        <f t="shared" si="43"/>
        <v>0.24012769013349861</v>
      </c>
      <c r="T76" s="18" t="str">
        <f t="shared" si="34"/>
        <v>1+0.0000489704087925901i</v>
      </c>
      <c r="U76" s="18">
        <f t="shared" si="44"/>
        <v>1.0000000011990504</v>
      </c>
      <c r="V76" s="18">
        <f t="shared" si="45"/>
        <v>4.8970408753444768E-5</v>
      </c>
      <c r="W76" s="32" t="str">
        <f t="shared" si="35"/>
        <v>1-0.00231970289583928i</v>
      </c>
      <c r="X76" s="18">
        <f t="shared" si="46"/>
        <v>1.0000026905071431</v>
      </c>
      <c r="Y76" s="18">
        <f t="shared" si="47"/>
        <v>-2.3196987350623086E-3</v>
      </c>
      <c r="Z76" s="32" t="str">
        <f t="shared" si="36"/>
        <v>0.999999952801967+0.000247540363214866i</v>
      </c>
      <c r="AA76" s="18">
        <f t="shared" si="48"/>
        <v>0.99999998344008356</v>
      </c>
      <c r="AB76" s="18">
        <f t="shared" si="49"/>
        <v>2.475403698421707E-4</v>
      </c>
      <c r="AC76" s="69" t="str">
        <f t="shared" si="50"/>
        <v>115.681217439058-28.633755246007i</v>
      </c>
      <c r="AD76" s="67">
        <f t="shared" si="51"/>
        <v>41.523506094191156</v>
      </c>
      <c r="AE76" s="64">
        <f t="shared" si="52"/>
        <v>-13.902589356844032</v>
      </c>
      <c r="AF76" s="32" t="str">
        <f t="shared" si="37"/>
        <v>-0.0000198412698412698</v>
      </c>
      <c r="AG76" s="32" t="str">
        <f t="shared" si="38"/>
        <v>8.26524948401763E-06i</v>
      </c>
      <c r="AH76" s="32">
        <f t="shared" si="53"/>
        <v>8.2652494840176306E-6</v>
      </c>
      <c r="AI76" s="32">
        <f t="shared" si="54"/>
        <v>1.5707963267948966</v>
      </c>
      <c r="AJ76" s="32" t="str">
        <f t="shared" si="39"/>
        <v>1+0.00286888027464228i</v>
      </c>
      <c r="AK76" s="32">
        <f t="shared" si="55"/>
        <v>1.0000041152285477</v>
      </c>
      <c r="AL76" s="32">
        <f t="shared" si="56"/>
        <v>2.8688724039329493E-3</v>
      </c>
      <c r="AM76" s="32" t="str">
        <f t="shared" si="40"/>
        <v>1+0.0620395359391393i</v>
      </c>
      <c r="AN76" s="32">
        <f t="shared" si="57"/>
        <v>1.0019226038070723</v>
      </c>
      <c r="AO76" s="32">
        <f t="shared" si="58"/>
        <v>6.1960124507068899E-2</v>
      </c>
      <c r="AP76" s="61" t="str">
        <f t="shared" si="59"/>
        <v>-0.142041844632147+2.40097264788621i</v>
      </c>
      <c r="AQ76" s="52">
        <f t="shared" si="60"/>
        <v>7.6229176754718955</v>
      </c>
      <c r="AR76" s="64">
        <f t="shared" si="61"/>
        <v>93.385679351653224</v>
      </c>
      <c r="AS76" s="61" t="str">
        <f t="shared" si="62"/>
        <v>52.3172896375948+281.814630359244i</v>
      </c>
      <c r="AT76" s="67">
        <f t="shared" si="63"/>
        <v>49.146423769663052</v>
      </c>
      <c r="AU76" s="64">
        <f t="shared" si="64"/>
        <v>79.48308999480922</v>
      </c>
    </row>
    <row r="77" spans="14:47" x14ac:dyDescent="0.25">
      <c r="N77" s="11">
        <v>59</v>
      </c>
      <c r="O77" s="53">
        <f t="shared" si="41"/>
        <v>38.904514499428053</v>
      </c>
      <c r="P77" s="51" t="str">
        <f t="shared" si="32"/>
        <v>122.692307692308</v>
      </c>
      <c r="Q77" s="18" t="str">
        <f t="shared" si="33"/>
        <v>1+0.250555380732906i</v>
      </c>
      <c r="R77" s="18">
        <f t="shared" si="42"/>
        <v>1.0309112468172086</v>
      </c>
      <c r="S77" s="18">
        <f t="shared" si="43"/>
        <v>0.24550130605946069</v>
      </c>
      <c r="T77" s="18" t="str">
        <f t="shared" si="34"/>
        <v>1+0.0000501110761465813i</v>
      </c>
      <c r="U77" s="18">
        <f t="shared" si="44"/>
        <v>1.0000000012555599</v>
      </c>
      <c r="V77" s="18">
        <f t="shared" si="45"/>
        <v>5.0111076104636321E-5</v>
      </c>
      <c r="W77" s="32" t="str">
        <f t="shared" si="35"/>
        <v>1-0.00237373571748571i</v>
      </c>
      <c r="X77" s="18">
        <f t="shared" si="46"/>
        <v>1.0000028173066595</v>
      </c>
      <c r="Y77" s="18">
        <f t="shared" si="47"/>
        <v>-2.3737312591335389E-3</v>
      </c>
      <c r="Z77" s="32" t="str">
        <f t="shared" si="36"/>
        <v>0.999999950577592+0.000253306318984405i</v>
      </c>
      <c r="AA77" s="18">
        <f t="shared" si="48"/>
        <v>0.99999998265963874</v>
      </c>
      <c r="AB77" s="18">
        <f t="shared" si="49"/>
        <v>2.5330632608569004E-4</v>
      </c>
      <c r="AC77" s="69" t="str">
        <f t="shared" si="50"/>
        <v>115.370312899949-29.2228222807791i</v>
      </c>
      <c r="AD77" s="67">
        <f t="shared" si="51"/>
        <v>41.511945781544497</v>
      </c>
      <c r="AE77" s="64">
        <f t="shared" si="52"/>
        <v>-14.213835715244288</v>
      </c>
      <c r="AF77" s="32" t="str">
        <f t="shared" si="37"/>
        <v>-0.0000198412698412698</v>
      </c>
      <c r="AG77" s="32" t="str">
        <f t="shared" si="38"/>
        <v>8.45777187644735E-06i</v>
      </c>
      <c r="AH77" s="32">
        <f t="shared" si="53"/>
        <v>8.4577718764473501E-6</v>
      </c>
      <c r="AI77" s="32">
        <f t="shared" si="54"/>
        <v>1.5707963267948966</v>
      </c>
      <c r="AJ77" s="32" t="str">
        <f t="shared" si="39"/>
        <v>1+0.00293570508073393i</v>
      </c>
      <c r="AK77" s="32">
        <f t="shared" si="55"/>
        <v>1.0000043091728761</v>
      </c>
      <c r="AL77" s="32">
        <f t="shared" si="56"/>
        <v>2.9356966471188991E-3</v>
      </c>
      <c r="AM77" s="32" t="str">
        <f t="shared" si="40"/>
        <v>1+0.0634846223708713i</v>
      </c>
      <c r="AN77" s="32">
        <f t="shared" si="57"/>
        <v>1.0020131223080724</v>
      </c>
      <c r="AO77" s="32">
        <f t="shared" si="58"/>
        <v>6.3399540718674249E-2</v>
      </c>
      <c r="AP77" s="61" t="str">
        <f t="shared" si="59"/>
        <v>-0.14204178953597+2.3463386056245i</v>
      </c>
      <c r="AQ77" s="52">
        <f t="shared" si="60"/>
        <v>7.4237006804488539</v>
      </c>
      <c r="AR77" s="64">
        <f t="shared" si="61"/>
        <v>93.464323078437204</v>
      </c>
      <c r="AS77" s="61" t="str">
        <f t="shared" si="62"/>
        <v>52.1792303790622+274.848681072182i</v>
      </c>
      <c r="AT77" s="67">
        <f t="shared" si="63"/>
        <v>48.935646461993343</v>
      </c>
      <c r="AU77" s="64">
        <f t="shared" si="64"/>
        <v>79.250487363192931</v>
      </c>
    </row>
    <row r="78" spans="14:47" x14ac:dyDescent="0.25">
      <c r="N78" s="11">
        <v>60</v>
      </c>
      <c r="O78" s="53">
        <f t="shared" si="41"/>
        <v>39.810717055349755</v>
      </c>
      <c r="P78" s="51" t="str">
        <f t="shared" si="32"/>
        <v>122.692307692308</v>
      </c>
      <c r="Q78" s="18" t="str">
        <f t="shared" si="33"/>
        <v>1+0.256391565282218i</v>
      </c>
      <c r="R78" s="18">
        <f t="shared" si="42"/>
        <v>1.0323452110354685</v>
      </c>
      <c r="S78" s="18">
        <f t="shared" si="43"/>
        <v>0.25098514849769932</v>
      </c>
      <c r="T78" s="18" t="str">
        <f t="shared" si="34"/>
        <v>1+0.0000512783130564437i</v>
      </c>
      <c r="U78" s="18">
        <f t="shared" si="44"/>
        <v>1.0000000013147325</v>
      </c>
      <c r="V78" s="18">
        <f t="shared" si="45"/>
        <v>5.1278313011498854E-5</v>
      </c>
      <c r="W78" s="32" t="str">
        <f t="shared" si="35"/>
        <v>1-0.00242902712522965i</v>
      </c>
      <c r="X78" s="18">
        <f t="shared" si="46"/>
        <v>1.000002950082036</v>
      </c>
      <c r="Y78" s="18">
        <f t="shared" si="47"/>
        <v>-2.4290223480199903E-3</v>
      </c>
      <c r="Z78" s="32" t="str">
        <f t="shared" si="36"/>
        <v>0.999999948248386+0.000259206581117174i</v>
      </c>
      <c r="AA78" s="18">
        <f t="shared" si="48"/>
        <v>0.9999999818424129</v>
      </c>
      <c r="AB78" s="18">
        <f t="shared" si="49"/>
        <v>2.5920658872633791E-4</v>
      </c>
      <c r="AC78" s="69" t="str">
        <f t="shared" si="50"/>
        <v>115.046522788813-29.8204922011976i</v>
      </c>
      <c r="AD78" s="67">
        <f t="shared" si="51"/>
        <v>41.499873545633307</v>
      </c>
      <c r="AE78" s="64">
        <f t="shared" si="52"/>
        <v>-14.531475870906871</v>
      </c>
      <c r="AF78" s="32" t="str">
        <f t="shared" si="37"/>
        <v>-0.0000198412698412698</v>
      </c>
      <c r="AG78" s="32" t="str">
        <f t="shared" si="38"/>
        <v>8.65477869147783E-06i</v>
      </c>
      <c r="AH78" s="32">
        <f t="shared" si="53"/>
        <v>8.6547786914778304E-6</v>
      </c>
      <c r="AI78" s="32">
        <f t="shared" si="54"/>
        <v>1.5707963267948966</v>
      </c>
      <c r="AJ78" s="32" t="str">
        <f t="shared" si="39"/>
        <v>1+0.00300408643651803i</v>
      </c>
      <c r="AK78" s="32">
        <f t="shared" si="55"/>
        <v>1.0000045122574788</v>
      </c>
      <c r="AL78" s="32">
        <f t="shared" si="56"/>
        <v>3.0040773997389134E-3</v>
      </c>
      <c r="AM78" s="32" t="str">
        <f t="shared" si="40"/>
        <v>1+0.0649633691897024i</v>
      </c>
      <c r="AN78" s="32">
        <f t="shared" si="57"/>
        <v>1.0021078980511418</v>
      </c>
      <c r="AO78" s="32">
        <f t="shared" si="58"/>
        <v>6.4872212910707799E-2</v>
      </c>
      <c r="AP78" s="61" t="str">
        <f t="shared" si="59"/>
        <v>-0.142041731843235+2.29294862313369i</v>
      </c>
      <c r="AQ78" s="52">
        <f t="shared" si="60"/>
        <v>7.2245204353834014</v>
      </c>
      <c r="AR78" s="64">
        <f t="shared" si="61"/>
        <v>93.544783051121968</v>
      </c>
      <c r="AS78" s="61" t="str">
        <f t="shared" si="62"/>
        <v>52.0354491944398+268.031520381603i</v>
      </c>
      <c r="AT78" s="67">
        <f t="shared" si="63"/>
        <v>48.724393981016696</v>
      </c>
      <c r="AU78" s="64">
        <f t="shared" si="64"/>
        <v>79.013307180215079</v>
      </c>
    </row>
    <row r="79" spans="14:47" x14ac:dyDescent="0.25">
      <c r="N79" s="11">
        <v>61</v>
      </c>
      <c r="O79" s="53">
        <f t="shared" si="41"/>
        <v>40.738027780411279</v>
      </c>
      <c r="P79" s="51" t="str">
        <f t="shared" si="32"/>
        <v>122.692307692308</v>
      </c>
      <c r="Q79" s="18" t="str">
        <f t="shared" si="33"/>
        <v>1+0.262363692033188i</v>
      </c>
      <c r="R79" s="18">
        <f t="shared" si="42"/>
        <v>1.0338446241564956</v>
      </c>
      <c r="S79" s="18">
        <f t="shared" si="43"/>
        <v>0.25658080519061199</v>
      </c>
      <c r="T79" s="18" t="str">
        <f t="shared" si="34"/>
        <v>1+0.0000524727384066376i</v>
      </c>
      <c r="U79" s="18">
        <f t="shared" si="44"/>
        <v>1.0000000013766941</v>
      </c>
      <c r="V79" s="18">
        <f t="shared" si="45"/>
        <v>5.247273835847833E-5</v>
      </c>
      <c r="W79" s="32" t="str">
        <f t="shared" si="35"/>
        <v>1-0.00248560643530737i</v>
      </c>
      <c r="X79" s="18">
        <f t="shared" si="46"/>
        <v>1.0000030891149043</v>
      </c>
      <c r="Y79" s="18">
        <f t="shared" si="47"/>
        <v>-2.4856013164358485E-3</v>
      </c>
      <c r="Z79" s="32" t="str">
        <f t="shared" si="36"/>
        <v>0.999999945809407+0.000265244278010258i</v>
      </c>
      <c r="AA79" s="18">
        <f t="shared" si="48"/>
        <v>0.99999998098667175</v>
      </c>
      <c r="AB79" s="18">
        <f t="shared" si="49"/>
        <v>2.6524428616362425E-4</v>
      </c>
      <c r="AC79" s="69" t="str">
        <f t="shared" si="50"/>
        <v>114.709394195502-30.4266503934467i</v>
      </c>
      <c r="AD79" s="67">
        <f t="shared" si="51"/>
        <v>41.487268234026409</v>
      </c>
      <c r="AE79" s="64">
        <f t="shared" si="52"/>
        <v>-14.855602618163998</v>
      </c>
      <c r="AF79" s="32" t="str">
        <f t="shared" si="37"/>
        <v>-0.0000198412698412698</v>
      </c>
      <c r="AG79" s="32" t="str">
        <f t="shared" si="38"/>
        <v>8.85637438473005E-06i</v>
      </c>
      <c r="AH79" s="32">
        <f t="shared" si="53"/>
        <v>8.8563743847300499E-6</v>
      </c>
      <c r="AI79" s="32">
        <f t="shared" si="54"/>
        <v>1.5707963267948966</v>
      </c>
      <c r="AJ79" s="32" t="str">
        <f t="shared" si="39"/>
        <v>1+0.00307406059869456i</v>
      </c>
      <c r="AK79" s="32">
        <f t="shared" si="55"/>
        <v>1.0000047249131199</v>
      </c>
      <c r="AL79" s="32">
        <f t="shared" si="56"/>
        <v>3.0740509156137502E-3</v>
      </c>
      <c r="AM79" s="32" t="str">
        <f t="shared" si="40"/>
        <v>1+0.06647656044677i</v>
      </c>
      <c r="AN79" s="32">
        <f t="shared" si="57"/>
        <v>1.0022071308311635</v>
      </c>
      <c r="AO79" s="32">
        <f t="shared" si="58"/>
        <v>6.6378896348037397E-2</v>
      </c>
      <c r="AP79" s="61" t="str">
        <f t="shared" si="59"/>
        <v>-0.142041671431576+2.2407743923373i</v>
      </c>
      <c r="AQ79" s="52">
        <f t="shared" si="60"/>
        <v>7.0253786576529116</v>
      </c>
      <c r="AR79" s="64">
        <f t="shared" si="61"/>
        <v>93.627100466005871</v>
      </c>
      <c r="AS79" s="61" t="str">
        <f t="shared" si="62"/>
        <v>51.8857449658024+261.359725351755i</v>
      </c>
      <c r="AT79" s="67">
        <f t="shared" si="63"/>
        <v>48.512646891679324</v>
      </c>
      <c r="AU79" s="64">
        <f t="shared" si="64"/>
        <v>78.771497847841871</v>
      </c>
    </row>
    <row r="80" spans="14:47" x14ac:dyDescent="0.25">
      <c r="N80" s="11">
        <v>62</v>
      </c>
      <c r="O80" s="53">
        <f t="shared" si="41"/>
        <v>41.686938347033561</v>
      </c>
      <c r="P80" s="51" t="str">
        <f t="shared" si="32"/>
        <v>122.692307692308</v>
      </c>
      <c r="Q80" s="18" t="str">
        <f t="shared" si="33"/>
        <v>1+0.268474927486468i</v>
      </c>
      <c r="R80" s="18">
        <f t="shared" si="42"/>
        <v>1.0354123751862656</v>
      </c>
      <c r="S80" s="18">
        <f t="shared" si="43"/>
        <v>0.26228984078220469</v>
      </c>
      <c r="T80" s="18" t="str">
        <f t="shared" si="34"/>
        <v>1+0.0000536949854972936i</v>
      </c>
      <c r="U80" s="18">
        <f t="shared" si="44"/>
        <v>1.0000000014415757</v>
      </c>
      <c r="V80" s="18">
        <f t="shared" si="45"/>
        <v>5.3694985445690006E-5</v>
      </c>
      <c r="W80" s="32" t="str">
        <f t="shared" si="35"/>
        <v>1-0.00254350364681798i</v>
      </c>
      <c r="X80" s="18">
        <f t="shared" si="46"/>
        <v>1.0000032347001691</v>
      </c>
      <c r="Y80" s="18">
        <f t="shared" si="47"/>
        <v>-2.5434981618492822E-3</v>
      </c>
      <c r="Z80" s="32" t="str">
        <f t="shared" si="36"/>
        <v>0.999999943255483+0.000271422610930465i</v>
      </c>
      <c r="AA80" s="18">
        <f t="shared" si="48"/>
        <v>0.9999999800906012</v>
      </c>
      <c r="AB80" s="18">
        <f t="shared" si="49"/>
        <v>2.7142261966695431E-4</v>
      </c>
      <c r="AC80" s="69" t="str">
        <f t="shared" si="50"/>
        <v>114.358465581859-31.0411625921215i</v>
      </c>
      <c r="AD80" s="67">
        <f t="shared" si="51"/>
        <v>41.474107956616528</v>
      </c>
      <c r="AE80" s="64">
        <f t="shared" si="52"/>
        <v>-15.186307470376093</v>
      </c>
      <c r="AF80" s="32" t="str">
        <f t="shared" si="37"/>
        <v>-0.0000198412698412698</v>
      </c>
      <c r="AG80" s="32" t="str">
        <f t="shared" si="38"/>
        <v>9.06266584490904E-06i</v>
      </c>
      <c r="AH80" s="32">
        <f t="shared" si="53"/>
        <v>9.0626658449090407E-6</v>
      </c>
      <c r="AI80" s="32">
        <f t="shared" si="54"/>
        <v>1.5707963267948966</v>
      </c>
      <c r="AJ80" s="32" t="str">
        <f t="shared" si="39"/>
        <v>1+0.00314566466849053i</v>
      </c>
      <c r="AK80" s="32">
        <f t="shared" si="55"/>
        <v>1.0000049475908639</v>
      </c>
      <c r="AL80" s="32">
        <f t="shared" si="56"/>
        <v>3.145654292885281E-3</v>
      </c>
      <c r="AM80" s="32" t="str">
        <f t="shared" si="40"/>
        <v>1+0.0680249984561078i</v>
      </c>
      <c r="AN80" s="32">
        <f t="shared" si="57"/>
        <v>1.002311029778159</v>
      </c>
      <c r="AO80" s="32">
        <f t="shared" si="58"/>
        <v>6.7920362516239507E-2</v>
      </c>
      <c r="AP80" s="61" t="str">
        <f t="shared" si="59"/>
        <v>-0.142041608172858+2.18978824976635i</v>
      </c>
      <c r="AQ80" s="52">
        <f t="shared" si="60"/>
        <v>6.8262771441732264</v>
      </c>
      <c r="AR80" s="64">
        <f t="shared" si="61"/>
        <v>93.711317400389547</v>
      </c>
      <c r="AS80" s="61" t="str">
        <f t="shared" si="62"/>
        <v>51.7299127438867+254.829960846604i</v>
      </c>
      <c r="AT80" s="67">
        <f t="shared" si="63"/>
        <v>48.300385100789747</v>
      </c>
      <c r="AU80" s="64">
        <f t="shared" si="64"/>
        <v>78.525009930013454</v>
      </c>
    </row>
    <row r="81" spans="14:47" x14ac:dyDescent="0.25">
      <c r="N81" s="11">
        <v>63</v>
      </c>
      <c r="O81" s="53">
        <f t="shared" si="41"/>
        <v>42.657951880159267</v>
      </c>
      <c r="P81" s="51" t="str">
        <f t="shared" si="32"/>
        <v>122.692307692308</v>
      </c>
      <c r="Q81" s="18" t="str">
        <f t="shared" si="33"/>
        <v>1+0.274728511899986i</v>
      </c>
      <c r="R81" s="18">
        <f t="shared" si="42"/>
        <v>1.037051471842541</v>
      </c>
      <c r="S81" s="18">
        <f t="shared" si="43"/>
        <v>0.26811379306551725</v>
      </c>
      <c r="T81" s="18" t="str">
        <f t="shared" si="34"/>
        <v>1+0.0000549457023799972i</v>
      </c>
      <c r="U81" s="18">
        <f t="shared" si="44"/>
        <v>1.000000001509515</v>
      </c>
      <c r="V81" s="18">
        <f t="shared" si="45"/>
        <v>5.4945702324702955E-5</v>
      </c>
      <c r="W81" s="32" t="str">
        <f t="shared" si="35"/>
        <v>1-0.00260274945762938i</v>
      </c>
      <c r="X81" s="18">
        <f t="shared" si="46"/>
        <v>1.0000033871466332</v>
      </c>
      <c r="Y81" s="18">
        <f t="shared" si="47"/>
        <v>-2.6027435803806067E-3</v>
      </c>
      <c r="Z81" s="32" t="str">
        <f t="shared" si="36"/>
        <v>0.999999940581196+0.000277744855711691i</v>
      </c>
      <c r="AA81" s="18">
        <f t="shared" si="48"/>
        <v>0.99999997915229999</v>
      </c>
      <c r="AB81" s="18">
        <f t="shared" si="49"/>
        <v>2.7774486507300793E-4</v>
      </c>
      <c r="AC81" s="69" t="str">
        <f t="shared" si="50"/>
        <v>113.993267318259-31.6638737772921i</v>
      </c>
      <c r="AD81" s="67">
        <f t="shared" si="51"/>
        <v>41.460370072126807</v>
      </c>
      <c r="AE81" s="64">
        <f t="shared" si="52"/>
        <v>-15.523680445913126</v>
      </c>
      <c r="AF81" s="32" t="str">
        <f t="shared" si="37"/>
        <v>-0.0000198412698412698</v>
      </c>
      <c r="AG81" s="32" t="str">
        <f t="shared" si="38"/>
        <v>9.27376245047755E-06i</v>
      </c>
      <c r="AH81" s="32">
        <f t="shared" si="53"/>
        <v>9.2737624504775495E-6</v>
      </c>
      <c r="AI81" s="32">
        <f t="shared" si="54"/>
        <v>1.5707963267948966</v>
      </c>
      <c r="AJ81" s="32" t="str">
        <f t="shared" si="39"/>
        <v>1+0.00321893661133152i</v>
      </c>
      <c r="AK81" s="32">
        <f t="shared" si="55"/>
        <v>1.0000051807630337</v>
      </c>
      <c r="AL81" s="32">
        <f t="shared" si="56"/>
        <v>3.2189254936733028E-3</v>
      </c>
      <c r="AM81" s="32" t="str">
        <f t="shared" si="40"/>
        <v>1+0.0696095042200442i</v>
      </c>
      <c r="AN81" s="32">
        <f t="shared" si="57"/>
        <v>1.0024198137894924</v>
      </c>
      <c r="AO81" s="32">
        <f t="shared" si="58"/>
        <v>6.9497399402951243E-2</v>
      </c>
      <c r="AP81" s="61" t="str">
        <f t="shared" si="59"/>
        <v>-0.142041541932909+2.13996316189196i</v>
      </c>
      <c r="AQ81" s="52">
        <f t="shared" si="60"/>
        <v>6.6272177750141603</v>
      </c>
      <c r="AR81" s="64">
        <f t="shared" si="61"/>
        <v>93.797476827569568</v>
      </c>
      <c r="AS81" s="61" t="str">
        <f t="shared" si="62"/>
        <v>51.5677439863461+248.438978219673i</v>
      </c>
      <c r="AT81" s="67">
        <f t="shared" si="63"/>
        <v>48.087587847140995</v>
      </c>
      <c r="AU81" s="64">
        <f t="shared" si="64"/>
        <v>78.273796381656467</v>
      </c>
    </row>
    <row r="82" spans="14:47" x14ac:dyDescent="0.25">
      <c r="N82" s="11">
        <v>64</v>
      </c>
      <c r="O82" s="53">
        <f t="shared" si="41"/>
        <v>43.651583224016633</v>
      </c>
      <c r="P82" s="51" t="str">
        <f t="shared" si="32"/>
        <v>122.692307692308</v>
      </c>
      <c r="Q82" s="18" t="str">
        <f t="shared" si="33"/>
        <v>1+0.281127761006975i</v>
      </c>
      <c r="R82" s="18">
        <f t="shared" si="42"/>
        <v>1.0387650446606271</v>
      </c>
      <c r="S82" s="18">
        <f t="shared" si="43"/>
        <v>0.27405416902337004</v>
      </c>
      <c r="T82" s="18" t="str">
        <f t="shared" si="34"/>
        <v>1+0.000056225552201395i</v>
      </c>
      <c r="U82" s="18">
        <f t="shared" si="44"/>
        <v>1.0000000015806563</v>
      </c>
      <c r="V82" s="18">
        <f t="shared" si="45"/>
        <v>5.622555214214615E-5</v>
      </c>
      <c r="W82" s="32" t="str">
        <f t="shared" si="35"/>
        <v>1-0.00266337528065468i</v>
      </c>
      <c r="X82" s="18">
        <f t="shared" si="46"/>
        <v>1.0000035467776529</v>
      </c>
      <c r="Y82" s="18">
        <f t="shared" si="47"/>
        <v>-2.663368983070364E-3</v>
      </c>
      <c r="Z82" s="32" t="str">
        <f t="shared" si="36"/>
        <v>0.999999937780874+0.000284214364491802i</v>
      </c>
      <c r="AA82" s="18">
        <f t="shared" si="48"/>
        <v>0.99999997816977815</v>
      </c>
      <c r="AB82" s="18">
        <f t="shared" si="49"/>
        <v>2.8421437452263385E-4</v>
      </c>
      <c r="AC82" s="69" t="str">
        <f t="shared" si="50"/>
        <v>113.613322301358-32.2946070528945i</v>
      </c>
      <c r="AD82" s="67">
        <f t="shared" si="51"/>
        <v>41.446031175548448</v>
      </c>
      <c r="AE82" s="64">
        <f t="shared" si="52"/>
        <v>-15.867809842318502</v>
      </c>
      <c r="AF82" s="32" t="str">
        <f t="shared" si="37"/>
        <v>-0.0000198412698412698</v>
      </c>
      <c r="AG82" s="32" t="str">
        <f t="shared" si="38"/>
        <v>9.48977612765008E-06i</v>
      </c>
      <c r="AH82" s="32">
        <f t="shared" si="53"/>
        <v>9.4897761276500805E-6</v>
      </c>
      <c r="AI82" s="32">
        <f t="shared" si="54"/>
        <v>1.5707963267948966</v>
      </c>
      <c r="AJ82" s="32" t="str">
        <f t="shared" si="39"/>
        <v>1+0.0032939152769715i</v>
      </c>
      <c r="AK82" s="32">
        <f t="shared" si="55"/>
        <v>1.000005424924211</v>
      </c>
      <c r="AL82" s="32">
        <f t="shared" si="56"/>
        <v>3.2939033641895816E-3</v>
      </c>
      <c r="AM82" s="32" t="str">
        <f t="shared" si="40"/>
        <v>1+0.0712309178645087i</v>
      </c>
      <c r="AN82" s="32">
        <f t="shared" si="57"/>
        <v>1.002533711981707</v>
      </c>
      <c r="AO82" s="32">
        <f t="shared" si="58"/>
        <v>7.111081177907079E-2</v>
      </c>
      <c r="AP82" s="61" t="str">
        <f t="shared" si="59"/>
        <v>-0.142041472571233+2.09127271079166i</v>
      </c>
      <c r="AQ82" s="52">
        <f t="shared" si="60"/>
        <v>6.4282025171715791</v>
      </c>
      <c r="AR82" s="64">
        <f t="shared" si="61"/>
        <v>93.885622631797901</v>
      </c>
      <c r="AS82" s="61" t="str">
        <f t="shared" si="62"/>
        <v>51.3990268320631+242.18361405311i</v>
      </c>
      <c r="AT82" s="67">
        <f t="shared" si="63"/>
        <v>47.87423369272004</v>
      </c>
      <c r="AU82" s="64">
        <f t="shared" si="64"/>
        <v>78.017812789479422</v>
      </c>
    </row>
    <row r="83" spans="14:47" x14ac:dyDescent="0.25">
      <c r="N83" s="11">
        <v>65</v>
      </c>
      <c r="O83" s="53">
        <f t="shared" si="41"/>
        <v>44.668359215096324</v>
      </c>
      <c r="P83" s="51" t="str">
        <f t="shared" ref="P83:P146" si="65">COMPLEX(Adc,0)</f>
        <v>122.692307692308</v>
      </c>
      <c r="Q83" s="18" t="str">
        <f t="shared" ref="Q83:Q146" si="66">IMSUM(COMPLEX(1,0),IMDIV(COMPLEX(0,2*PI()*O83),COMPLEX(wp_lf,0)))</f>
        <v>1+0.287676067774016i</v>
      </c>
      <c r="R83" s="18">
        <f t="shared" si="42"/>
        <v>1.0405563511746589</v>
      </c>
      <c r="S83" s="18">
        <f t="shared" si="43"/>
        <v>0.28011244065934221</v>
      </c>
      <c r="T83" s="18" t="str">
        <f t="shared" ref="T83:T146" si="67">IMSUM(COMPLEX(1,0),IMDIV(COMPLEX(0,2*PI()*O83),COMPLEX(wz_esr,0)))</f>
        <v>1+0.0000575352135548032i</v>
      </c>
      <c r="U83" s="18">
        <f t="shared" si="44"/>
        <v>1.0000000016551502</v>
      </c>
      <c r="V83" s="18">
        <f t="shared" si="45"/>
        <v>5.7535213491316914E-5</v>
      </c>
      <c r="W83" s="32" t="str">
        <f t="shared" ref="W83:W146" si="68">IMSUB(COMPLEX(1,0),IMDIV(COMPLEX(0,2*PI()*O83),COMPLEX(wz_rhp,0)))</f>
        <v>1-0.00272541326050772i</v>
      </c>
      <c r="X83" s="18">
        <f t="shared" si="46"/>
        <v>1.0000037139318236</v>
      </c>
      <c r="Y83" s="18">
        <f t="shared" si="47"/>
        <v>-2.7254065125259025E-3</v>
      </c>
      <c r="Z83" s="32" t="str">
        <f t="shared" ref="Z83:Z146" si="69">IMSUM(COMPLEX(1,0),IMDIV(COMPLEX(0,2*PI()*O83),COMPLEX(Q*(wsl/2),0)),IMDIV(IMPOWER(COMPLEX(0,2*PI()*O83),2),IMPOWER(COMPLEX(wsl/2,0),2)))</f>
        <v>0.999999934848578+0.000290834567489989i</v>
      </c>
      <c r="AA83" s="18">
        <f t="shared" si="48"/>
        <v>0.99999997714095257</v>
      </c>
      <c r="AB83" s="18">
        <f t="shared" si="49"/>
        <v>2.9083457823821871E-4</v>
      </c>
      <c r="AC83" s="69" t="str">
        <f t="shared" si="50"/>
        <v>113.218146658269-32.9331625106428i</v>
      </c>
      <c r="AD83" s="67">
        <f t="shared" si="51"/>
        <v>41.431067086643395</v>
      </c>
      <c r="AE83" s="64">
        <f t="shared" si="52"/>
        <v>-16.218781998477365</v>
      </c>
      <c r="AF83" s="32" t="str">
        <f t="shared" ref="AF83:AF146" si="70">COMPLEX(Adc_ea,0)</f>
        <v>-0.0000198412698412698</v>
      </c>
      <c r="AG83" s="32" t="str">
        <f t="shared" ref="AG83:AG146" si="71">COMPLEX(0,2*PI()*O83*wp0_ea)</f>
        <v>9.71082140973751E-06i</v>
      </c>
      <c r="AH83" s="32">
        <f t="shared" si="53"/>
        <v>9.7108214097375102E-6</v>
      </c>
      <c r="AI83" s="32">
        <f t="shared" si="54"/>
        <v>1.5707963267948966</v>
      </c>
      <c r="AJ83" s="32" t="str">
        <f t="shared" ref="AJ83:AJ146" si="72">IMSUM(COMPLEX(1,0),IMDIV(COMPLEX(0,2*PI()*O83),COMPLEX(wp1_ea,0)))</f>
        <v>1+0.00337064042009145i</v>
      </c>
      <c r="AK83" s="32">
        <f t="shared" si="55"/>
        <v>1.0000056805922861</v>
      </c>
      <c r="AL83" s="32">
        <f t="shared" si="56"/>
        <v>3.3706276553195614E-3</v>
      </c>
      <c r="AM83" s="32" t="str">
        <f t="shared" ref="AM83:AM146" si="73">IMSUM(COMPLEX(1,0),IMDIV(COMPLEX(0,2*PI()*O83),COMPLEX(wz_ea,0)))</f>
        <v>1+0.0728900990844777i</v>
      </c>
      <c r="AN83" s="32">
        <f t="shared" si="57"/>
        <v>1.0026529641628479</v>
      </c>
      <c r="AO83" s="32">
        <f t="shared" si="58"/>
        <v>7.2761421479347582E-2</v>
      </c>
      <c r="AP83" s="61" t="str">
        <f t="shared" si="59"/>
        <v>-0.142041399940716+2.04369108014234i</v>
      </c>
      <c r="AQ83" s="52">
        <f t="shared" si="60"/>
        <v>6.2292334285042914</v>
      </c>
      <c r="AR83" s="64">
        <f t="shared" si="61"/>
        <v>93.975799623179284</v>
      </c>
      <c r="AS83" s="61" t="str">
        <f t="shared" si="62"/>
        <v>51.223546413845+236.060788943238i</v>
      </c>
      <c r="AT83" s="67">
        <f t="shared" si="63"/>
        <v>47.660300515147668</v>
      </c>
      <c r="AU83" s="64">
        <f t="shared" si="64"/>
        <v>77.757017624701902</v>
      </c>
    </row>
    <row r="84" spans="14:47" x14ac:dyDescent="0.25">
      <c r="N84" s="11">
        <v>66</v>
      </c>
      <c r="O84" s="53">
        <f t="shared" ref="O84:O118" si="74">10^(1+(N84/100))</f>
        <v>45.70881896148753</v>
      </c>
      <c r="P84" s="51" t="str">
        <f t="shared" si="65"/>
        <v>122.692307692308</v>
      </c>
      <c r="Q84" s="18" t="str">
        <f t="shared" si="66"/>
        <v>1+0.294376904200034i</v>
      </c>
      <c r="R84" s="18">
        <f t="shared" ref="R84:R147" si="75">IMABS(Q84)</f>
        <v>1.0424287801698473</v>
      </c>
      <c r="S84" s="18">
        <f t="shared" ref="S84:S147" si="76">IMARGUMENT(Q84)</f>
        <v>0.28629004061673918</v>
      </c>
      <c r="T84" s="18" t="str">
        <f t="shared" si="67"/>
        <v>1+0.0000588753808400068i</v>
      </c>
      <c r="U84" s="18">
        <f t="shared" ref="U84:U147" si="77">IMABS(T84)</f>
        <v>1.0000000017331552</v>
      </c>
      <c r="V84" s="18">
        <f t="shared" ref="V84:V147" si="78">IMARGUMENT(T84)</f>
        <v>5.8875380771980022E-5</v>
      </c>
      <c r="W84" s="32" t="str">
        <f t="shared" si="68"/>
        <v>1-0.00278889629054659i</v>
      </c>
      <c r="X84" s="18">
        <f t="shared" ref="X84:X147" si="79">IMABS(W84)</f>
        <v>1.0000038889636977</v>
      </c>
      <c r="Y84" s="18">
        <f t="shared" ref="Y84:Y147" si="80">IMARGUMENT(W84)</f>
        <v>-2.7888890599553199E-3</v>
      </c>
      <c r="Z84" s="32" t="str">
        <f t="shared" si="69"/>
        <v>0.999999931778086+0.000297608974825509i</v>
      </c>
      <c r="AA84" s="18">
        <f t="shared" ref="AA84:AA147" si="81">IMABS(Z84)</f>
        <v>0.99999997606363911</v>
      </c>
      <c r="AB84" s="18">
        <f t="shared" ref="AB84:AB147" si="82">IMARGUMENT(Z84)</f>
        <v>2.9760898634244461E-4</v>
      </c>
      <c r="AC84" s="69" t="str">
        <f t="shared" ref="AC84:AC147" si="83">(IMDIV(IMPRODUCT(P84,T84,W84),IMPRODUCT(Q84,Z84)))</f>
        <v>112.807250542423-33.5793160842953i</v>
      </c>
      <c r="AD84" s="67">
        <f t="shared" ref="AD84:AD147" si="84">20*LOG(IMABS(AC84))</f>
        <v>41.415452839658215</v>
      </c>
      <c r="AE84" s="64">
        <f t="shared" ref="AE84:AE147" si="85">(180/PI())*IMARGUMENT(AC84)</f>
        <v>-16.576681044660933</v>
      </c>
      <c r="AF84" s="32" t="str">
        <f t="shared" si="70"/>
        <v>-0.0000198412698412698</v>
      </c>
      <c r="AG84" s="32" t="str">
        <f t="shared" si="71"/>
        <v>9.93701549787432E-06i</v>
      </c>
      <c r="AH84" s="32">
        <f t="shared" ref="AH84:AH147" si="86">IMABS(AG84)</f>
        <v>9.9370154978743206E-6</v>
      </c>
      <c r="AI84" s="32">
        <f t="shared" ref="AI84:AI147" si="87">IMARGUMENT(AG84)</f>
        <v>1.5707963267948966</v>
      </c>
      <c r="AJ84" s="32" t="str">
        <f t="shared" si="72"/>
        <v>1+0.00344915272137784i</v>
      </c>
      <c r="AK84" s="32">
        <f t="shared" ref="AK84:AK147" si="88">IMABS(AJ84)</f>
        <v>1.0000059483095565</v>
      </c>
      <c r="AL84" s="32">
        <f t="shared" ref="AL84:AL147" si="89">IMARGUMENT(AJ84)</f>
        <v>3.4491390436827284E-3</v>
      </c>
      <c r="AM84" s="32" t="str">
        <f t="shared" si="73"/>
        <v>1+0.0745879275997959i</v>
      </c>
      <c r="AN84" s="32">
        <f t="shared" ref="AN84:AN147" si="90">IMABS(AM84)</f>
        <v>1.0027778213261562</v>
      </c>
      <c r="AO84" s="32">
        <f t="shared" ref="AO84:AO147" si="91">IMARGUMENT(AM84)</f>
        <v>7.4450067681862367E-2</v>
      </c>
      <c r="AP84" s="61" t="str">
        <f t="shared" ref="AP84:AP147" si="92">IMPRODUCT(AF84,IMDIV(AM84,IMPRODUCT(AG84,AJ84)))</f>
        <v>-0.142041323887306+1.99719304153208i</v>
      </c>
      <c r="AQ84" s="52">
        <f t="shared" ref="AQ84:AQ147" si="93">20*LOG(IMABS(AP84))</f>
        <v>6.0303126618409326</v>
      </c>
      <c r="AR84" s="64">
        <f t="shared" ref="AR84:AR147" si="94">(180/PI())*IMARGUMENT(AP84)</f>
        <v>94.068053552477238</v>
      </c>
      <c r="AS84" s="61" t="str">
        <f t="shared" ref="AS84:AS147" si="95">IMPRODUCT(AC84,AP84)</f>
        <v>51.041085211828+230.067506329537i</v>
      </c>
      <c r="AT84" s="67">
        <f t="shared" ref="AT84:AT147" si="96">20*LOG(IMABS(AS84))</f>
        <v>47.445765501499153</v>
      </c>
      <c r="AU84" s="64">
        <f t="shared" ref="AU84:AU147" si="97">(180/PI())*IMARGUMENT(AS84)</f>
        <v>77.491372507816322</v>
      </c>
    </row>
    <row r="85" spans="14:47" x14ac:dyDescent="0.25">
      <c r="N85" s="11">
        <v>67</v>
      </c>
      <c r="O85" s="53">
        <f t="shared" si="74"/>
        <v>46.773514128719818</v>
      </c>
      <c r="P85" s="51" t="str">
        <f t="shared" si="65"/>
        <v>122.692307692308</v>
      </c>
      <c r="Q85" s="18" t="str">
        <f t="shared" si="66"/>
        <v>1+0.301233823157197i</v>
      </c>
      <c r="R85" s="18">
        <f t="shared" si="75"/>
        <v>1.0443858560005019</v>
      </c>
      <c r="S85" s="18">
        <f t="shared" si="76"/>
        <v>0.29258835758425006</v>
      </c>
      <c r="T85" s="18" t="str">
        <f t="shared" si="67"/>
        <v>1+0.0000602467646314395i</v>
      </c>
      <c r="U85" s="18">
        <f t="shared" si="77"/>
        <v>1.0000000018148363</v>
      </c>
      <c r="V85" s="18">
        <f t="shared" si="78"/>
        <v>6.0246764558547493E-5</v>
      </c>
      <c r="W85" s="32" t="str">
        <f t="shared" si="68"/>
        <v>1-0.00285385803031411i</v>
      </c>
      <c r="X85" s="18">
        <f t="shared" si="79"/>
        <v>1.0000040722445371</v>
      </c>
      <c r="Y85" s="18">
        <f t="shared" si="80"/>
        <v>-2.8538502825976799E-3</v>
      </c>
      <c r="Z85" s="32" t="str">
        <f t="shared" si="69"/>
        <v>0.999999928562886+0.000304541178378803i</v>
      </c>
      <c r="AA85" s="18">
        <f t="shared" si="81"/>
        <v>0.99999997493555282</v>
      </c>
      <c r="AB85" s="18">
        <f t="shared" si="82"/>
        <v>3.04541190719422E-4</v>
      </c>
      <c r="AC85" s="69" t="str">
        <f t="shared" si="83"/>
        <v>112.38013902624-34.23281839975i</v>
      </c>
      <c r="AD85" s="67">
        <f t="shared" si="84"/>
        <v>41.39916267439844</v>
      </c>
      <c r="AE85" s="64">
        <f t="shared" si="85"/>
        <v>-16.941588640374743</v>
      </c>
      <c r="AF85" s="32" t="str">
        <f t="shared" si="70"/>
        <v>-0.0000198412698412698</v>
      </c>
      <c r="AG85" s="32" t="str">
        <f t="shared" si="71"/>
        <v>0.00001016847832316i</v>
      </c>
      <c r="AH85" s="32">
        <f t="shared" si="86"/>
        <v>1.0168478323160001E-5</v>
      </c>
      <c r="AI85" s="32">
        <f t="shared" si="87"/>
        <v>1.5707963267948966</v>
      </c>
      <c r="AJ85" s="32" t="str">
        <f t="shared" si="72"/>
        <v>1+0.00352949380909204i</v>
      </c>
      <c r="AK85" s="32">
        <f t="shared" si="88"/>
        <v>1.0000062286438762</v>
      </c>
      <c r="AL85" s="32">
        <f t="shared" si="89"/>
        <v>3.5294791531826071E-3</v>
      </c>
      <c r="AM85" s="32" t="str">
        <f t="shared" si="73"/>
        <v>1+0.0763253036216153i</v>
      </c>
      <c r="AN85" s="32">
        <f t="shared" si="90"/>
        <v>1.0029085461660658</v>
      </c>
      <c r="AO85" s="32">
        <f t="shared" si="91"/>
        <v>7.6177607185853841E-2</v>
      </c>
      <c r="AP85" s="61" t="str">
        <f t="shared" si="92"/>
        <v>-0.142041244249698+1.9517539410837i</v>
      </c>
      <c r="AQ85" s="52">
        <f t="shared" si="93"/>
        <v>5.8314424692637798</v>
      </c>
      <c r="AR85" s="64">
        <f t="shared" si="94"/>
        <v>94.162431125798122</v>
      </c>
      <c r="AS85" s="61" t="str">
        <f t="shared" si="95"/>
        <v>50.8514234498735+224.200851363672i</v>
      </c>
      <c r="AT85" s="67">
        <f t="shared" si="96"/>
        <v>47.230605143662203</v>
      </c>
      <c r="AU85" s="64">
        <f t="shared" si="97"/>
        <v>77.220842485423347</v>
      </c>
    </row>
    <row r="86" spans="14:47" x14ac:dyDescent="0.25">
      <c r="N86" s="11">
        <v>68</v>
      </c>
      <c r="O86" s="53">
        <f t="shared" si="74"/>
        <v>47.863009232263877</v>
      </c>
      <c r="P86" s="51" t="str">
        <f t="shared" si="65"/>
        <v>122.692307692308</v>
      </c>
      <c r="Q86" s="18" t="str">
        <f t="shared" si="66"/>
        <v>1+0.3082504602747i</v>
      </c>
      <c r="R86" s="18">
        <f t="shared" si="75"/>
        <v>1.0464312429680052</v>
      </c>
      <c r="S86" s="18">
        <f t="shared" si="76"/>
        <v>0.29900873148809087</v>
      </c>
      <c r="T86" s="18" t="str">
        <f t="shared" si="67"/>
        <v>1+0.0000616500920549401i</v>
      </c>
      <c r="U86" s="18">
        <f t="shared" si="77"/>
        <v>1.000000001900367</v>
      </c>
      <c r="V86" s="18">
        <f t="shared" si="78"/>
        <v>6.1650091976834902E-5</v>
      </c>
      <c r="W86" s="32" t="str">
        <f t="shared" si="68"/>
        <v>1-0.00292033292338459i</v>
      </c>
      <c r="X86" s="18">
        <f t="shared" si="79"/>
        <v>1.0000042641631002</v>
      </c>
      <c r="Y86" s="18">
        <f t="shared" si="80"/>
        <v>-2.9203246215587756E-3</v>
      </c>
      <c r="Z86" s="32" t="str">
        <f t="shared" si="69"/>
        <v>0.999999925196158+0.000311634853695952i</v>
      </c>
      <c r="AA86" s="18">
        <f t="shared" si="81"/>
        <v>0.99999997375430139</v>
      </c>
      <c r="AB86" s="18">
        <f t="shared" si="82"/>
        <v>3.1163486691916366E-4</v>
      </c>
      <c r="AC86" s="69" t="str">
        <f t="shared" si="83"/>
        <v>111.936313095686-34.8933936271566i</v>
      </c>
      <c r="AD86" s="67">
        <f t="shared" si="84"/>
        <v>41.382170028825762</v>
      </c>
      <c r="AE86" s="64">
        <f t="shared" si="85"/>
        <v>-17.313583699998237</v>
      </c>
      <c r="AF86" s="32" t="str">
        <f t="shared" si="70"/>
        <v>-0.0000198412698412698</v>
      </c>
      <c r="AG86" s="32" t="str">
        <f t="shared" si="71"/>
        <v>0.0000104053326102484i</v>
      </c>
      <c r="AH86" s="32">
        <f t="shared" si="86"/>
        <v>1.04053326102484E-5</v>
      </c>
      <c r="AI86" s="32">
        <f t="shared" si="87"/>
        <v>1.5707963267948966</v>
      </c>
      <c r="AJ86" s="32" t="str">
        <f t="shared" si="72"/>
        <v>1+0.00361170628114219i</v>
      </c>
      <c r="AK86" s="32">
        <f t="shared" si="88"/>
        <v>1.0000065221898611</v>
      </c>
      <c r="AL86" s="32">
        <f t="shared" si="89"/>
        <v>3.6116905770578285E-3</v>
      </c>
      <c r="AM86" s="32" t="str">
        <f t="shared" si="73"/>
        <v>1+0.0781031483296999i</v>
      </c>
      <c r="AN86" s="32">
        <f t="shared" si="90"/>
        <v>1.0030454136174549</v>
      </c>
      <c r="AO86" s="32">
        <f t="shared" si="91"/>
        <v>7.7944914687303773E-2</v>
      </c>
      <c r="AP86" s="61" t="str">
        <f t="shared" si="92"/>
        <v>-0.14204116085898+1.90734968638289i</v>
      </c>
      <c r="AQ86" s="52">
        <f t="shared" si="93"/>
        <v>5.6326252065760842</v>
      </c>
      <c r="AR86" s="64">
        <f t="shared" si="94"/>
        <v>94.258980019117189</v>
      </c>
      <c r="AS86" s="61" t="str">
        <f t="shared" si="95"/>
        <v>50.6543395372064+218.457989815024i</v>
      </c>
      <c r="AT86" s="67">
        <f t="shared" si="96"/>
        <v>47.014795235401834</v>
      </c>
      <c r="AU86" s="64">
        <f t="shared" si="97"/>
        <v>76.945396319118927</v>
      </c>
    </row>
    <row r="87" spans="14:47" x14ac:dyDescent="0.25">
      <c r="N87" s="11">
        <v>69</v>
      </c>
      <c r="O87" s="53">
        <f t="shared" si="74"/>
        <v>48.977881936844632</v>
      </c>
      <c r="P87" s="51" t="str">
        <f t="shared" si="65"/>
        <v>122.692307692308</v>
      </c>
      <c r="Q87" s="18" t="str">
        <f t="shared" si="66"/>
        <v>1+0.315430535866418i</v>
      </c>
      <c r="R87" s="18">
        <f t="shared" si="75"/>
        <v>1.04856874975224</v>
      </c>
      <c r="S87" s="18">
        <f t="shared" si="76"/>
        <v>0.30555244847162311</v>
      </c>
      <c r="T87" s="18" t="str">
        <f t="shared" si="67"/>
        <v>1+0.0000630861071732837i</v>
      </c>
      <c r="U87" s="18">
        <f t="shared" si="77"/>
        <v>1.0000000019899284</v>
      </c>
      <c r="V87" s="18">
        <f t="shared" si="78"/>
        <v>6.3086107089592469E-5</v>
      </c>
      <c r="W87" s="32" t="str">
        <f t="shared" si="68"/>
        <v>1-0.00298835621562622i</v>
      </c>
      <c r="X87" s="18">
        <f t="shared" si="79"/>
        <v>1.000004465126467</v>
      </c>
      <c r="Y87" s="18">
        <f t="shared" si="80"/>
        <v>-2.9883473200617364E-3</v>
      </c>
      <c r="Z87" s="32" t="str">
        <f t="shared" si="69"/>
        <v>0.999999921670762+0.000318893761937507i</v>
      </c>
      <c r="AA87" s="18">
        <f t="shared" si="81"/>
        <v>0.99999997251738049</v>
      </c>
      <c r="AB87" s="18">
        <f t="shared" si="82"/>
        <v>3.188937761064334E-4</v>
      </c>
      <c r="AC87" s="69" t="str">
        <f t="shared" si="83"/>
        <v>111.475270751559-35.5607383419497i</v>
      </c>
      <c r="AD87" s="67">
        <f t="shared" si="84"/>
        <v>41.364447533345661</v>
      </c>
      <c r="AE87" s="64">
        <f t="shared" si="85"/>
        <v>-17.692742106273091</v>
      </c>
      <c r="AF87" s="32" t="str">
        <f t="shared" si="70"/>
        <v>-0.0000198412698412698</v>
      </c>
      <c r="AG87" s="32" t="str">
        <f t="shared" si="71"/>
        <v>0.0000106477039424176i</v>
      </c>
      <c r="AH87" s="32">
        <f t="shared" si="86"/>
        <v>1.06477039424176E-5</v>
      </c>
      <c r="AI87" s="32">
        <f t="shared" si="87"/>
        <v>1.5707963267948966</v>
      </c>
      <c r="AJ87" s="32" t="str">
        <f t="shared" si="72"/>
        <v>1+0.00369583372766919i</v>
      </c>
      <c r="AK87" s="32">
        <f t="shared" si="88"/>
        <v>1.0000068295701499</v>
      </c>
      <c r="AL87" s="32">
        <f t="shared" si="89"/>
        <v>3.6958169004458327E-3</v>
      </c>
      <c r="AM87" s="32" t="str">
        <f t="shared" si="73"/>
        <v>1+0.0799224043608463i</v>
      </c>
      <c r="AN87" s="32">
        <f t="shared" si="90"/>
        <v>1.003188711419152</v>
      </c>
      <c r="AO87" s="32">
        <f t="shared" si="91"/>
        <v>7.9752883051638787E-2</v>
      </c>
      <c r="AP87" s="61" t="str">
        <f t="shared" si="92"/>
        <v>-0.142041073538284+1.86395673370416i</v>
      </c>
      <c r="AQ87" s="52">
        <f t="shared" si="93"/>
        <v>5.4338633379606414</v>
      </c>
      <c r="AR87" s="64">
        <f t="shared" si="94"/>
        <v>94.357748892610672</v>
      </c>
      <c r="AS87" s="61" t="str">
        <f t="shared" si="95"/>
        <v>50.4496105574465+212.836167008767i</v>
      </c>
      <c r="AT87" s="67">
        <f t="shared" si="96"/>
        <v>46.798310871306292</v>
      </c>
      <c r="AU87" s="64">
        <f t="shared" si="97"/>
        <v>76.665006786337571</v>
      </c>
    </row>
    <row r="88" spans="14:47" x14ac:dyDescent="0.25">
      <c r="N88" s="11">
        <v>70</v>
      </c>
      <c r="O88" s="53">
        <f t="shared" si="74"/>
        <v>50.118723362727238</v>
      </c>
      <c r="P88" s="51" t="str">
        <f t="shared" si="65"/>
        <v>122.692307692308</v>
      </c>
      <c r="Q88" s="18" t="str">
        <f t="shared" si="66"/>
        <v>1+0.322777856903468i</v>
      </c>
      <c r="R88" s="18">
        <f t="shared" si="75"/>
        <v>1.050802333889298</v>
      </c>
      <c r="S88" s="18">
        <f t="shared" si="76"/>
        <v>0.31222073566482345</v>
      </c>
      <c r="T88" s="18" t="str">
        <f t="shared" si="67"/>
        <v>1+0.0000645555713806937i</v>
      </c>
      <c r="U88" s="18">
        <f t="shared" si="77"/>
        <v>1.0000000020837108</v>
      </c>
      <c r="V88" s="18">
        <f t="shared" si="78"/>
        <v>6.4555571291016942E-5</v>
      </c>
      <c r="W88" s="32" t="str">
        <f t="shared" si="68"/>
        <v>1-0.00305796397388894i</v>
      </c>
      <c r="X88" s="18">
        <f t="shared" si="79"/>
        <v>1.0000046755609024</v>
      </c>
      <c r="Y88" s="18">
        <f t="shared" si="80"/>
        <v>-3.0579544421222714E-3</v>
      </c>
      <c r="Z88" s="32" t="str">
        <f t="shared" si="69"/>
        <v>0.999999917979219+0.000326321751872697i</v>
      </c>
      <c r="AA88" s="18">
        <f t="shared" si="81"/>
        <v>0.999999971222165</v>
      </c>
      <c r="AB88" s="18">
        <f t="shared" si="82"/>
        <v>3.2632176705497506E-4</v>
      </c>
      <c r="AC88" s="69" t="str">
        <f t="shared" si="83"/>
        <v>110.996508222103-36.2345204024781i</v>
      </c>
      <c r="AD88" s="67">
        <f t="shared" si="84"/>
        <v>41.345967006961587</v>
      </c>
      <c r="AE88" s="64">
        <f t="shared" si="85"/>
        <v>-18.079136411777437</v>
      </c>
      <c r="AF88" s="32" t="str">
        <f t="shared" si="70"/>
        <v>-0.0000198412698412698</v>
      </c>
      <c r="AG88" s="32" t="str">
        <f t="shared" si="71"/>
        <v>0.0000108957208281561i</v>
      </c>
      <c r="AH88" s="32">
        <f t="shared" si="86"/>
        <v>1.0895720828156099E-5</v>
      </c>
      <c r="AI88" s="32">
        <f t="shared" si="87"/>
        <v>1.5707963267948966</v>
      </c>
      <c r="AJ88" s="32" t="str">
        <f t="shared" si="72"/>
        <v>1+0.00378192075415874i</v>
      </c>
      <c r="AK88" s="32">
        <f t="shared" si="88"/>
        <v>1.0000071514367239</v>
      </c>
      <c r="AL88" s="32">
        <f t="shared" si="89"/>
        <v>3.7819027234710233E-3</v>
      </c>
      <c r="AM88" s="32" t="str">
        <f t="shared" si="73"/>
        <v>1+0.0817840363086827i</v>
      </c>
      <c r="AN88" s="32">
        <f t="shared" si="90"/>
        <v>1.0033387407027299</v>
      </c>
      <c r="AO88" s="32">
        <f t="shared" si="91"/>
        <v>8.1602423582861572E-2</v>
      </c>
      <c r="AP88" s="61" t="str">
        <f t="shared" si="92"/>
        <v>-0.142040982102405+1.8215520755276i</v>
      </c>
      <c r="AQ88" s="52">
        <f t="shared" si="93"/>
        <v>5.2351594408356528</v>
      </c>
      <c r="AR88" s="64">
        <f t="shared" si="94"/>
        <v>94.458787404752869</v>
      </c>
      <c r="AS88" s="61" t="str">
        <f t="shared" si="95"/>
        <v>50.237012807076+207.332706792266i</v>
      </c>
      <c r="AT88" s="67">
        <f t="shared" si="96"/>
        <v>46.581126447797267</v>
      </c>
      <c r="AU88" s="64">
        <f t="shared" si="97"/>
        <v>76.379650992975442</v>
      </c>
    </row>
    <row r="89" spans="14:47" x14ac:dyDescent="0.25">
      <c r="N89" s="11">
        <v>71</v>
      </c>
      <c r="O89" s="53">
        <f t="shared" si="74"/>
        <v>51.28613839913649</v>
      </c>
      <c r="P89" s="51" t="str">
        <f t="shared" si="65"/>
        <v>122.692307692308</v>
      </c>
      <c r="Q89" s="18" t="str">
        <f t="shared" si="66"/>
        <v>1+0.330296319032719i</v>
      </c>
      <c r="R89" s="18">
        <f t="shared" si="75"/>
        <v>1.0531361062875793</v>
      </c>
      <c r="S89" s="18">
        <f t="shared" si="76"/>
        <v>0.31901475574745225</v>
      </c>
      <c r="T89" s="18" t="str">
        <f t="shared" si="67"/>
        <v>1+0.0000660592638065438i</v>
      </c>
      <c r="U89" s="18">
        <f t="shared" si="77"/>
        <v>1.0000000021819131</v>
      </c>
      <c r="V89" s="18">
        <f t="shared" si="78"/>
        <v>6.6059263710453416E-5</v>
      </c>
      <c r="W89" s="32" t="str">
        <f t="shared" si="68"/>
        <v>1-0.00312919310512756i</v>
      </c>
      <c r="X89" s="18">
        <f t="shared" si="79"/>
        <v>1.0000048959127597</v>
      </c>
      <c r="Y89" s="18">
        <f t="shared" si="80"/>
        <v>-3.1291828916582627E-3</v>
      </c>
      <c r="Z89" s="32" t="str">
        <f t="shared" si="69"/>
        <v>0.999999914113698+0.00033392276192011i</v>
      </c>
      <c r="AA89" s="18">
        <f t="shared" si="81"/>
        <v>0.99999996986590678</v>
      </c>
      <c r="AB89" s="18">
        <f t="shared" si="82"/>
        <v>3.3392277818821429E-4</v>
      </c>
      <c r="AC89" s="69" t="str">
        <f t="shared" si="83"/>
        <v>110.499521291186-36.9143778526796i</v>
      </c>
      <c r="AD89" s="67">
        <f t="shared" si="84"/>
        <v>41.326699455478206</v>
      </c>
      <c r="AE89" s="64">
        <f t="shared" si="85"/>
        <v>-18.472835528607522</v>
      </c>
      <c r="AF89" s="32" t="str">
        <f t="shared" si="70"/>
        <v>-0.0000198412698412698</v>
      </c>
      <c r="AG89" s="32" t="str">
        <f t="shared" si="71"/>
        <v>0.0000111495147692996i</v>
      </c>
      <c r="AH89" s="32">
        <f t="shared" si="86"/>
        <v>1.1149514769299599E-5</v>
      </c>
      <c r="AI89" s="32">
        <f t="shared" si="87"/>
        <v>1.5707963267948966</v>
      </c>
      <c r="AJ89" s="32" t="str">
        <f t="shared" si="72"/>
        <v>1+0.00387001300509178i</v>
      </c>
      <c r="AK89" s="32">
        <f t="shared" si="88"/>
        <v>1.0000074884722912</v>
      </c>
      <c r="AL89" s="32">
        <f t="shared" si="89"/>
        <v>3.8699936848696184E-3</v>
      </c>
      <c r="AM89" s="32" t="str">
        <f t="shared" si="73"/>
        <v>1+0.0836890312351097i</v>
      </c>
      <c r="AN89" s="32">
        <f t="shared" si="90"/>
        <v>1.0034958166076584</v>
      </c>
      <c r="AO89" s="32">
        <f t="shared" si="91"/>
        <v>8.3494466288362892E-2</v>
      </c>
      <c r="AP89" s="61" t="str">
        <f t="shared" si="92"/>
        <v>-0.142040886357412+1.78011322833997i</v>
      </c>
      <c r="AQ89" s="52">
        <f t="shared" si="93"/>
        <v>5.0365162109158312</v>
      </c>
      <c r="AR89" s="64">
        <f t="shared" si="94"/>
        <v>94.562146226135226</v>
      </c>
      <c r="AS89" s="61" t="str">
        <f t="shared" si="95"/>
        <v>50.0163223852252+201.945010525201i</v>
      </c>
      <c r="AT89" s="67">
        <f t="shared" si="96"/>
        <v>46.363215666394019</v>
      </c>
      <c r="AU89" s="64">
        <f t="shared" si="97"/>
        <v>76.089310697527665</v>
      </c>
    </row>
    <row r="90" spans="14:47" x14ac:dyDescent="0.25">
      <c r="N90" s="11">
        <v>72</v>
      </c>
      <c r="O90" s="53">
        <f t="shared" si="74"/>
        <v>52.480746024977286</v>
      </c>
      <c r="P90" s="51" t="str">
        <f t="shared" si="65"/>
        <v>122.692307692308</v>
      </c>
      <c r="Q90" s="18" t="str">
        <f t="shared" si="66"/>
        <v>1+0.33798990864231i</v>
      </c>
      <c r="R90" s="18">
        <f t="shared" si="75"/>
        <v>1.0555743357736758</v>
      </c>
      <c r="S90" s="18">
        <f t="shared" si="76"/>
        <v>0.32593560131141269</v>
      </c>
      <c r="T90" s="18" t="str">
        <f t="shared" si="67"/>
        <v>1+0.0000675979817284621i</v>
      </c>
      <c r="U90" s="18">
        <f t="shared" si="77"/>
        <v>1.0000000022847435</v>
      </c>
      <c r="V90" s="18">
        <f t="shared" si="78"/>
        <v>6.7597981625499402E-5</v>
      </c>
      <c r="W90" s="32" t="str">
        <f t="shared" si="68"/>
        <v>1-0.00320208137597029i</v>
      </c>
      <c r="X90" s="18">
        <f t="shared" si="79"/>
        <v>1.0000051266494279</v>
      </c>
      <c r="Y90" s="18">
        <f t="shared" si="80"/>
        <v>-3.2020704320437944E-3</v>
      </c>
      <c r="Z90" s="32" t="str">
        <f t="shared" si="69"/>
        <v>0.999999910066002+0.000341700822235884i</v>
      </c>
      <c r="AA90" s="18">
        <f t="shared" si="81"/>
        <v>0.99999996844573158</v>
      </c>
      <c r="AB90" s="18">
        <f t="shared" si="82"/>
        <v>3.4170083966747158E-4</v>
      </c>
      <c r="AC90" s="69" t="str">
        <f t="shared" si="83"/>
        <v>109.983806745872-37.5999178590579i</v>
      </c>
      <c r="AD90" s="67">
        <f t="shared" si="84"/>
        <v>41.3066150719444</v>
      </c>
      <c r="AE90" s="64">
        <f t="shared" si="85"/>
        <v>-18.873904406580611</v>
      </c>
      <c r="AF90" s="32" t="str">
        <f t="shared" si="70"/>
        <v>-0.0000198412698412698</v>
      </c>
      <c r="AG90" s="32" t="str">
        <f t="shared" si="71"/>
        <v>0.000011409220330755i</v>
      </c>
      <c r="AH90" s="32">
        <f t="shared" si="86"/>
        <v>1.1409220330754999E-5</v>
      </c>
      <c r="AI90" s="32">
        <f t="shared" si="87"/>
        <v>1.5707963267948966</v>
      </c>
      <c r="AJ90" s="32" t="str">
        <f t="shared" si="72"/>
        <v>1+0.0039601571881458i</v>
      </c>
      <c r="AK90" s="32">
        <f t="shared" si="88"/>
        <v>1.0000078413917337</v>
      </c>
      <c r="AL90" s="32">
        <f t="shared" si="89"/>
        <v>3.9601364861635395E-3</v>
      </c>
      <c r="AM90" s="32" t="str">
        <f t="shared" si="73"/>
        <v>1+0.085638399193653i</v>
      </c>
      <c r="AN90" s="32">
        <f t="shared" si="90"/>
        <v>1.003660268923928</v>
      </c>
      <c r="AO90" s="32">
        <f t="shared" si="91"/>
        <v>8.5429960138607208E-2</v>
      </c>
      <c r="AP90" s="61" t="str">
        <f t="shared" si="92"/>
        <v>-0.142040786100236+1.73961822071367i</v>
      </c>
      <c r="AQ90" s="52">
        <f t="shared" si="93"/>
        <v>4.8379364674862249</v>
      </c>
      <c r="AR90" s="64">
        <f t="shared" si="94"/>
        <v>94.667877052960108</v>
      </c>
      <c r="AS90" s="61" t="str">
        <f t="shared" si="95"/>
        <v>49.7873158364743+196.670556088575i</v>
      </c>
      <c r="AT90" s="67">
        <f t="shared" si="96"/>
        <v>46.14455153943063</v>
      </c>
      <c r="AU90" s="64">
        <f t="shared" si="97"/>
        <v>75.79397264637953</v>
      </c>
    </row>
    <row r="91" spans="14:47" x14ac:dyDescent="0.25">
      <c r="N91" s="11">
        <v>73</v>
      </c>
      <c r="O91" s="53">
        <f t="shared" si="74"/>
        <v>53.703179637025293</v>
      </c>
      <c r="P91" s="51" t="str">
        <f t="shared" si="65"/>
        <v>122.692307692308</v>
      </c>
      <c r="Q91" s="18" t="str">
        <f t="shared" si="66"/>
        <v>1+0.345862704975288i</v>
      </c>
      <c r="R91" s="18">
        <f t="shared" si="75"/>
        <v>1.0581214536587107</v>
      </c>
      <c r="S91" s="18">
        <f t="shared" si="76"/>
        <v>0.33298428902960864</v>
      </c>
      <c r="T91" s="18" t="str">
        <f t="shared" si="67"/>
        <v>1+0.0000691725409950576i</v>
      </c>
      <c r="U91" s="18">
        <f t="shared" si="77"/>
        <v>1.0000000023924203</v>
      </c>
      <c r="V91" s="18">
        <f t="shared" si="78"/>
        <v>6.9172540884731068E-5</v>
      </c>
      <c r="W91" s="32" t="str">
        <f t="shared" si="68"/>
        <v>1-0.00327666743274311i</v>
      </c>
      <c r="X91" s="18">
        <f t="shared" si="79"/>
        <v>1.0000053682603234</v>
      </c>
      <c r="Y91" s="18">
        <f t="shared" si="80"/>
        <v>-3.2766557061179951E-3</v>
      </c>
      <c r="Z91" s="32" t="str">
        <f t="shared" si="69"/>
        <v>0.999999905827543+0.000349660056850551i</v>
      </c>
      <c r="AA91" s="18">
        <f t="shared" si="81"/>
        <v>0.99999996695862448</v>
      </c>
      <c r="AB91" s="18">
        <f t="shared" si="82"/>
        <v>3.4966007552883374E-4</v>
      </c>
      <c r="AC91" s="69" t="str">
        <f t="shared" si="83"/>
        <v>109.448863946646-38.2907156920263i</v>
      </c>
      <c r="AD91" s="67">
        <f t="shared" si="84"/>
        <v>41.285683239530819</v>
      </c>
      <c r="AE91" s="64">
        <f t="shared" si="85"/>
        <v>-19.28240370038009</v>
      </c>
      <c r="AF91" s="32" t="str">
        <f t="shared" si="70"/>
        <v>-0.0000198412698412698</v>
      </c>
      <c r="AG91" s="32" t="str">
        <f t="shared" si="71"/>
        <v>0.0000116749752118487i</v>
      </c>
      <c r="AH91" s="32">
        <f t="shared" si="86"/>
        <v>1.1674975211848701E-5</v>
      </c>
      <c r="AI91" s="32">
        <f t="shared" si="87"/>
        <v>1.5707963267948966</v>
      </c>
      <c r="AJ91" s="32" t="str">
        <f t="shared" si="72"/>
        <v>1+0.00405240109895985i</v>
      </c>
      <c r="AK91" s="32">
        <f t="shared" si="88"/>
        <v>1.0000082109436237</v>
      </c>
      <c r="AL91" s="32">
        <f t="shared" si="89"/>
        <v>4.0523789163960378E-3</v>
      </c>
      <c r="AM91" s="32" t="str">
        <f t="shared" si="73"/>
        <v>1+0.0876331737650068i</v>
      </c>
      <c r="AN91" s="32">
        <f t="shared" si="90"/>
        <v>1.003832442763297</v>
      </c>
      <c r="AO91" s="32">
        <f t="shared" si="91"/>
        <v>8.7409873320823908E-2</v>
      </c>
      <c r="AP91" s="61" t="str">
        <f t="shared" si="92"/>
        <v>-0.142040681118235+1.70004558165712i</v>
      </c>
      <c r="AQ91" s="52">
        <f t="shared" si="93"/>
        <v>4.639423158895724</v>
      </c>
      <c r="AR91" s="64">
        <f t="shared" si="94"/>
        <v>94.776032620159071</v>
      </c>
      <c r="AS91" s="61" t="str">
        <f t="shared" si="95"/>
        <v>49.5497708481196+191.506896907287i</v>
      </c>
      <c r="AT91" s="67">
        <f t="shared" si="96"/>
        <v>45.925106398426543</v>
      </c>
      <c r="AU91" s="64">
        <f t="shared" si="97"/>
        <v>75.493628919779013</v>
      </c>
    </row>
    <row r="92" spans="14:47" x14ac:dyDescent="0.25">
      <c r="N92" s="11">
        <v>74</v>
      </c>
      <c r="O92" s="53">
        <f t="shared" si="74"/>
        <v>54.95408738576247</v>
      </c>
      <c r="P92" s="51" t="str">
        <f t="shared" si="65"/>
        <v>122.692307692308</v>
      </c>
      <c r="Q92" s="18" t="str">
        <f t="shared" si="66"/>
        <v>1+0.353918882292478i</v>
      </c>
      <c r="R92" s="18">
        <f t="shared" si="75"/>
        <v>1.0607820583150702</v>
      </c>
      <c r="S92" s="18">
        <f t="shared" si="76"/>
        <v>0.34016175364053347</v>
      </c>
      <c r="T92" s="18" t="str">
        <f t="shared" si="67"/>
        <v>1+0.0000707837764584957i</v>
      </c>
      <c r="U92" s="18">
        <f t="shared" si="77"/>
        <v>1.0000000025051714</v>
      </c>
      <c r="V92" s="18">
        <f t="shared" si="78"/>
        <v>7.0783776340278701E-5</v>
      </c>
      <c r="W92" s="32" t="str">
        <f t="shared" si="68"/>
        <v>1-0.0033529908219606i</v>
      </c>
      <c r="X92" s="18">
        <f t="shared" si="79"/>
        <v>1.0000056212579267</v>
      </c>
      <c r="Y92" s="18">
        <f t="shared" si="80"/>
        <v>-3.3529782566592186E-3</v>
      </c>
      <c r="Z92" s="32" t="str">
        <f t="shared" si="69"/>
        <v>0.999999901389332+0.000357804685855659i</v>
      </c>
      <c r="AA92" s="18">
        <f t="shared" si="81"/>
        <v>0.99999996540143288</v>
      </c>
      <c r="AB92" s="18">
        <f t="shared" si="82"/>
        <v>3.5780470586979944E-4</v>
      </c>
      <c r="AC92" s="69" t="str">
        <f t="shared" si="83"/>
        <v>108.894196522922-38.9863137624894i</v>
      </c>
      <c r="AD92" s="67">
        <f t="shared" si="84"/>
        <v>41.263872537041557</v>
      </c>
      <c r="AE92" s="64">
        <f t="shared" si="85"/>
        <v>-19.698389426171147</v>
      </c>
      <c r="AF92" s="32" t="str">
        <f t="shared" si="70"/>
        <v>-0.0000198412698412698</v>
      </c>
      <c r="AG92" s="32" t="str">
        <f t="shared" si="71"/>
        <v>0.0000119469203193363i</v>
      </c>
      <c r="AH92" s="32">
        <f t="shared" si="86"/>
        <v>1.19469203193363E-5</v>
      </c>
      <c r="AI92" s="32">
        <f t="shared" si="87"/>
        <v>1.5707963267948966</v>
      </c>
      <c r="AJ92" s="32" t="str">
        <f t="shared" si="72"/>
        <v>1+0.00414679364647645i</v>
      </c>
      <c r="AK92" s="32">
        <f t="shared" si="88"/>
        <v>1.0000085979118112</v>
      </c>
      <c r="AL92" s="32">
        <f t="shared" si="89"/>
        <v>4.146769877442124E-3</v>
      </c>
      <c r="AM92" s="32" t="str">
        <f t="shared" si="73"/>
        <v>1+0.0896744126050532i</v>
      </c>
      <c r="AN92" s="32">
        <f t="shared" si="90"/>
        <v>1.0040126992603537</v>
      </c>
      <c r="AO92" s="32">
        <f t="shared" si="91"/>
        <v>8.9435193485768824E-2</v>
      </c>
      <c r="AP92" s="61" t="str">
        <f t="shared" si="92"/>
        <v>-0.142040571188752+1.66137432923061i</v>
      </c>
      <c r="AQ92" s="52">
        <f t="shared" si="93"/>
        <v>4.440979368279045</v>
      </c>
      <c r="AR92" s="64">
        <f t="shared" si="94"/>
        <v>94.886666714081059</v>
      </c>
      <c r="AS92" s="61" t="str">
        <f t="shared" si="95"/>
        <v>49.3034670030739+186.451660980744i</v>
      </c>
      <c r="AT92" s="67">
        <f t="shared" si="96"/>
        <v>45.704851905320616</v>
      </c>
      <c r="AU92" s="64">
        <f t="shared" si="97"/>
        <v>75.188277287909941</v>
      </c>
    </row>
    <row r="93" spans="14:47" x14ac:dyDescent="0.25">
      <c r="N93" s="11">
        <v>75</v>
      </c>
      <c r="O93" s="53">
        <f t="shared" si="74"/>
        <v>56.234132519034915</v>
      </c>
      <c r="P93" s="51" t="str">
        <f t="shared" si="65"/>
        <v>122.692307692308</v>
      </c>
      <c r="Q93" s="18" t="str">
        <f t="shared" si="66"/>
        <v>1+0.36216271208573i</v>
      </c>
      <c r="R93" s="18">
        <f t="shared" si="75"/>
        <v>1.0635609197527385</v>
      </c>
      <c r="S93" s="18">
        <f t="shared" si="76"/>
        <v>0.34746884175992077</v>
      </c>
      <c r="T93" s="18" t="str">
        <f t="shared" si="67"/>
        <v>1+0.000072432542417146i</v>
      </c>
      <c r="U93" s="18">
        <f t="shared" si="77"/>
        <v>1.0000000026232365</v>
      </c>
      <c r="V93" s="18">
        <f t="shared" si="78"/>
        <v>7.2432542290474204E-5</v>
      </c>
      <c r="W93" s="32" t="str">
        <f t="shared" si="68"/>
        <v>1-0.00343109201129396i</v>
      </c>
      <c r="X93" s="18">
        <f t="shared" si="79"/>
        <v>1.0000058861788714</v>
      </c>
      <c r="Y93" s="18">
        <f t="shared" si="80"/>
        <v>-3.4310785473352337E-3</v>
      </c>
      <c r="Z93" s="32" t="str">
        <f t="shared" si="69"/>
        <v>0.999999896741954+0.000366139027641313i</v>
      </c>
      <c r="AA93" s="18">
        <f t="shared" si="81"/>
        <v>0.99999996377085243</v>
      </c>
      <c r="AB93" s="18">
        <f t="shared" si="82"/>
        <v>3.6613904908685104E-4</v>
      </c>
      <c r="AC93" s="69" t="str">
        <f t="shared" si="83"/>
        <v>108.31931419572-39.6862207253422i</v>
      </c>
      <c r="AD93" s="67">
        <f t="shared" si="84"/>
        <v>41.241150747265259</v>
      </c>
      <c r="AE93" s="64">
        <f t="shared" si="85"/>
        <v>-20.121912608337684</v>
      </c>
      <c r="AF93" s="32" t="str">
        <f t="shared" si="70"/>
        <v>-0.0000198412698412698</v>
      </c>
      <c r="AG93" s="32" t="str">
        <f t="shared" si="71"/>
        <v>0.0000122251998421134i</v>
      </c>
      <c r="AH93" s="32">
        <f t="shared" si="86"/>
        <v>1.22251998421134E-5</v>
      </c>
      <c r="AI93" s="32">
        <f t="shared" si="87"/>
        <v>1.5707963267948966</v>
      </c>
      <c r="AJ93" s="32" t="str">
        <f t="shared" si="72"/>
        <v>1+0.0042433848788737i</v>
      </c>
      <c r="AK93" s="32">
        <f t="shared" si="88"/>
        <v>1.000009003117087</v>
      </c>
      <c r="AL93" s="32">
        <f t="shared" si="89"/>
        <v>4.243359409906936E-3</v>
      </c>
      <c r="AM93" s="32" t="str">
        <f t="shared" si="73"/>
        <v>1+0.0917631980056438i</v>
      </c>
      <c r="AN93" s="32">
        <f t="shared" si="90"/>
        <v>1.0042014163046291</v>
      </c>
      <c r="AO93" s="32">
        <f t="shared" si="91"/>
        <v>9.1506927986544265E-2</v>
      </c>
      <c r="AP93" s="61" t="str">
        <f t="shared" si="92"/>
        <v>-0.142040456078633+1.62358395942138i</v>
      </c>
      <c r="AQ93" s="52">
        <f t="shared" si="93"/>
        <v>4.2426083195141686</v>
      </c>
      <c r="AR93" s="64">
        <f t="shared" si="94"/>
        <v>94.999834184691721</v>
      </c>
      <c r="AS93" s="61" t="str">
        <f t="shared" si="95"/>
        <v>49.0481865892371+181.50254991556i</v>
      </c>
      <c r="AT93" s="67">
        <f t="shared" si="96"/>
        <v>45.483759066779413</v>
      </c>
      <c r="AU93" s="64">
        <f t="shared" si="97"/>
        <v>74.877921576354012</v>
      </c>
    </row>
    <row r="94" spans="14:47" x14ac:dyDescent="0.25">
      <c r="N94" s="11">
        <v>76</v>
      </c>
      <c r="O94" s="53">
        <f t="shared" si="74"/>
        <v>57.543993733715695</v>
      </c>
      <c r="P94" s="51" t="str">
        <f t="shared" si="65"/>
        <v>122.692307692308</v>
      </c>
      <c r="Q94" s="18" t="str">
        <f t="shared" si="66"/>
        <v>1+0.37059856534272i</v>
      </c>
      <c r="R94" s="18">
        <f t="shared" si="75"/>
        <v>1.0664629841837374</v>
      </c>
      <c r="S94" s="18">
        <f t="shared" si="76"/>
        <v>0.35490630553303509</v>
      </c>
      <c r="T94" s="18" t="str">
        <f t="shared" si="67"/>
        <v>1+0.0000741197130685441i</v>
      </c>
      <c r="U94" s="18">
        <f t="shared" si="77"/>
        <v>1.0000000027468658</v>
      </c>
      <c r="V94" s="18">
        <f t="shared" si="78"/>
        <v>7.4119712932812828E-5</v>
      </c>
      <c r="W94" s="32" t="str">
        <f t="shared" si="68"/>
        <v>1-0.00351101241102759i</v>
      </c>
      <c r="X94" s="18">
        <f t="shared" si="79"/>
        <v>1.0000061635850803</v>
      </c>
      <c r="Y94" s="18">
        <f t="shared" si="80"/>
        <v>-3.5109979841406926E-3</v>
      </c>
      <c r="Z94" s="32" t="str">
        <f t="shared" si="69"/>
        <v>0.999999891875552+0.000374667501185845i</v>
      </c>
      <c r="AA94" s="18">
        <f t="shared" si="81"/>
        <v>0.99999996206342534</v>
      </c>
      <c r="AB94" s="18">
        <f t="shared" si="82"/>
        <v>3.7466752416515315E-4</v>
      </c>
      <c r="AC94" s="69" t="str">
        <f t="shared" si="83"/>
        <v>107.723734728487-40.3899106623289i</v>
      </c>
      <c r="AD94" s="67">
        <f t="shared" si="84"/>
        <v>41.2174848683701</v>
      </c>
      <c r="AE94" s="64">
        <f t="shared" si="85"/>
        <v>-20.553018917119054</v>
      </c>
      <c r="AF94" s="32" t="str">
        <f t="shared" si="70"/>
        <v>-0.0000198412698412698</v>
      </c>
      <c r="AG94" s="32" t="str">
        <f t="shared" si="71"/>
        <v>0.0000125099613276664i</v>
      </c>
      <c r="AH94" s="32">
        <f t="shared" si="86"/>
        <v>1.25099613276664E-5</v>
      </c>
      <c r="AI94" s="32">
        <f t="shared" si="87"/>
        <v>1.5707963267948966</v>
      </c>
      <c r="AJ94" s="32" t="str">
        <f t="shared" si="72"/>
        <v>1+0.00434222601010158i</v>
      </c>
      <c r="AK94" s="32">
        <f t="shared" si="88"/>
        <v>1.0000094274189233</v>
      </c>
      <c r="AL94" s="32">
        <f t="shared" si="89"/>
        <v>4.3421987196259042E-3</v>
      </c>
      <c r="AM94" s="32" t="str">
        <f t="shared" si="73"/>
        <v>1+0.0939006374684466i</v>
      </c>
      <c r="AN94" s="32">
        <f t="shared" si="90"/>
        <v>1.0043989893050373</v>
      </c>
      <c r="AO94" s="32">
        <f t="shared" si="91"/>
        <v>9.3626104108399971E-2</v>
      </c>
      <c r="AP94" s="61" t="str">
        <f t="shared" si="92"/>
        <v>-0.142040335543743+1.58665443527205i</v>
      </c>
      <c r="AQ94" s="52">
        <f t="shared" si="93"/>
        <v>4.0443133834231402</v>
      </c>
      <c r="AR94" s="64">
        <f t="shared" si="94"/>
        <v>95.115590957222111</v>
      </c>
      <c r="AS94" s="61" t="str">
        <f t="shared" si="95"/>
        <v>48.7837154657666+176.657337954083i</v>
      </c>
      <c r="AT94" s="67">
        <f t="shared" si="96"/>
        <v>45.261798251793252</v>
      </c>
      <c r="AU94" s="64">
        <f t="shared" si="97"/>
        <v>74.562572040103078</v>
      </c>
    </row>
    <row r="95" spans="14:47" x14ac:dyDescent="0.25">
      <c r="N95" s="11">
        <v>77</v>
      </c>
      <c r="O95" s="53">
        <f t="shared" si="74"/>
        <v>58.884365535558949</v>
      </c>
      <c r="P95" s="51" t="str">
        <f t="shared" si="65"/>
        <v>122.692307692308</v>
      </c>
      <c r="Q95" s="18" t="str">
        <f t="shared" si="66"/>
        <v>1+0.379230914864506i</v>
      </c>
      <c r="R95" s="18">
        <f t="shared" si="75"/>
        <v>1.0694933785624716</v>
      </c>
      <c r="S95" s="18">
        <f t="shared" si="76"/>
        <v>0.36247479614355832</v>
      </c>
      <c r="T95" s="18" t="str">
        <f t="shared" si="67"/>
        <v>1+0.0000758461829729014i</v>
      </c>
      <c r="U95" s="18">
        <f t="shared" si="77"/>
        <v>1.0000000028763216</v>
      </c>
      <c r="V95" s="18">
        <f t="shared" si="78"/>
        <v>7.5846182827462715E-5</v>
      </c>
      <c r="W95" s="32" t="str">
        <f t="shared" si="68"/>
        <v>1-0.00359279439601529i</v>
      </c>
      <c r="X95" s="18">
        <f t="shared" si="79"/>
        <v>1.0000064540649585</v>
      </c>
      <c r="Y95" s="18">
        <f t="shared" si="80"/>
        <v>-3.5927789373328533E-3</v>
      </c>
      <c r="Z95" s="32" t="str">
        <f t="shared" si="69"/>
        <v>0.999999886779804+0.000383394628398816i</v>
      </c>
      <c r="AA95" s="18">
        <f t="shared" si="81"/>
        <v>0.99999996027553006</v>
      </c>
      <c r="AB95" s="18">
        <f t="shared" si="82"/>
        <v>3.833946530215882E-4</v>
      </c>
      <c r="AC95" s="69" t="str">
        <f t="shared" si="83"/>
        <v>107.106986006064-41.0968223574503i</v>
      </c>
      <c r="AD95" s="67">
        <f t="shared" si="84"/>
        <v>41.192841128550398</v>
      </c>
      <c r="AE95" s="64">
        <f t="shared" si="85"/>
        <v>-20.991748298061314</v>
      </c>
      <c r="AF95" s="32" t="str">
        <f t="shared" si="70"/>
        <v>-0.0000198412698412698</v>
      </c>
      <c r="AG95" s="32" t="str">
        <f t="shared" si="71"/>
        <v>0.0000128013557603043i</v>
      </c>
      <c r="AH95" s="32">
        <f t="shared" si="86"/>
        <v>1.28013557603043E-5</v>
      </c>
      <c r="AI95" s="32">
        <f t="shared" si="87"/>
        <v>1.5707963267948966</v>
      </c>
      <c r="AJ95" s="32" t="str">
        <f t="shared" si="72"/>
        <v>1+0.00444336944703616i</v>
      </c>
      <c r="AK95" s="32">
        <f t="shared" si="88"/>
        <v>1.0000098717172961</v>
      </c>
      <c r="AL95" s="32">
        <f t="shared" si="89"/>
        <v>4.4433402047802141E-3</v>
      </c>
      <c r="AM95" s="32" t="str">
        <f t="shared" si="73"/>
        <v>1+0.096087864292157i</v>
      </c>
      <c r="AN95" s="32">
        <f t="shared" si="90"/>
        <v>1.0046058319879634</v>
      </c>
      <c r="AO95" s="32">
        <f t="shared" si="91"/>
        <v>9.5793769288346514E-2</v>
      </c>
      <c r="AP95" s="61" t="str">
        <f t="shared" si="92"/>
        <v>-0.142040209328437+1.55056617625681i</v>
      </c>
      <c r="AQ95" s="52">
        <f t="shared" si="93"/>
        <v>3.8460980842253139</v>
      </c>
      <c r="AR95" s="64">
        <f t="shared" si="94"/>
        <v>95.233994043197484</v>
      </c>
      <c r="AS95" s="61" t="str">
        <f t="shared" si="95"/>
        <v>48.5098439862578+171.9138709922i</v>
      </c>
      <c r="AT95" s="67">
        <f t="shared" si="96"/>
        <v>45.038939212775702</v>
      </c>
      <c r="AU95" s="64">
        <f t="shared" si="97"/>
        <v>74.242245745136159</v>
      </c>
    </row>
    <row r="96" spans="14:47" x14ac:dyDescent="0.25">
      <c r="N96" s="11">
        <v>78</v>
      </c>
      <c r="O96" s="53">
        <f t="shared" si="74"/>
        <v>60.255958607435822</v>
      </c>
      <c r="P96" s="51" t="str">
        <f t="shared" si="65"/>
        <v>122.692307692308</v>
      </c>
      <c r="Q96" s="18" t="str">
        <f t="shared" si="66"/>
        <v>1+0.388064337637069i</v>
      </c>
      <c r="R96" s="18">
        <f t="shared" si="75"/>
        <v>1.0726574150891315</v>
      </c>
      <c r="S96" s="18">
        <f t="shared" si="76"/>
        <v>0.37017485719754306</v>
      </c>
      <c r="T96" s="18" t="str">
        <f t="shared" si="67"/>
        <v>1+0.0000776128675274138i</v>
      </c>
      <c r="U96" s="18">
        <f t="shared" si="77"/>
        <v>1.0000000030118785</v>
      </c>
      <c r="V96" s="18">
        <f t="shared" si="78"/>
        <v>7.7612867371573438E-5</v>
      </c>
      <c r="W96" s="32" t="str">
        <f t="shared" si="68"/>
        <v>1-0.00367648132814801i</v>
      </c>
      <c r="X96" s="18">
        <f t="shared" si="79"/>
        <v>1.0000067582346412</v>
      </c>
      <c r="Y96" s="18">
        <f t="shared" si="80"/>
        <v>-3.6764647638773918E-3</v>
      </c>
      <c r="Z96" s="32" t="str">
        <f t="shared" si="69"/>
        <v>0.999999881443901+0.000392325036518592i</v>
      </c>
      <c r="AA96" s="18">
        <f t="shared" si="81"/>
        <v>0.99999995840337419</v>
      </c>
      <c r="AB96" s="18">
        <f t="shared" si="82"/>
        <v>3.9232506290236757E-4</v>
      </c>
      <c r="AC96" s="69" t="str">
        <f t="shared" si="83"/>
        <v>106.468608240657-41.8063586787869i</v>
      </c>
      <c r="AD96" s="67">
        <f t="shared" si="84"/>
        <v>41.167185004131383</v>
      </c>
      <c r="AE96" s="64">
        <f t="shared" si="85"/>
        <v>-21.438134594341225</v>
      </c>
      <c r="AF96" s="32" t="str">
        <f t="shared" si="70"/>
        <v>-0.0000198412698412698</v>
      </c>
      <c r="AG96" s="32" t="str">
        <f t="shared" si="71"/>
        <v>0.0000130995376412123i</v>
      </c>
      <c r="AH96" s="32">
        <f t="shared" si="86"/>
        <v>1.30995376412123E-5</v>
      </c>
      <c r="AI96" s="32">
        <f t="shared" si="87"/>
        <v>1.5707963267948966</v>
      </c>
      <c r="AJ96" s="32" t="str">
        <f t="shared" si="72"/>
        <v>1+0.00454686881726651i</v>
      </c>
      <c r="AK96" s="32">
        <f t="shared" si="88"/>
        <v>1.0000103369545943</v>
      </c>
      <c r="AL96" s="32">
        <f t="shared" si="89"/>
        <v>4.5468374836422285E-3</v>
      </c>
      <c r="AM96" s="32" t="str">
        <f t="shared" si="73"/>
        <v>1+0.0983260381733884i</v>
      </c>
      <c r="AN96" s="32">
        <f t="shared" si="90"/>
        <v>1.0048223772303615</v>
      </c>
      <c r="AO96" s="32">
        <f t="shared" si="91"/>
        <v>9.8010991323337376E-2</v>
      </c>
      <c r="AP96" s="61" t="str">
        <f t="shared" si="92"/>
        <v>-0.142040077165027+1.51530004789952i</v>
      </c>
      <c r="AQ96" s="52">
        <f t="shared" si="93"/>
        <v>3.6479661062499735</v>
      </c>
      <c r="AR96" s="64">
        <f t="shared" si="94"/>
        <v>95.355101550775984</v>
      </c>
      <c r="AS96" s="61" t="str">
        <f t="shared" si="95"/>
        <v>48.2263679783144+167.270065579586i</v>
      </c>
      <c r="AT96" s="67">
        <f t="shared" si="96"/>
        <v>44.815151110381336</v>
      </c>
      <c r="AU96" s="64">
        <f t="shared" si="97"/>
        <v>73.916966956434692</v>
      </c>
    </row>
    <row r="97" spans="14:47" x14ac:dyDescent="0.25">
      <c r="N97" s="11">
        <v>79</v>
      </c>
      <c r="O97" s="53">
        <f t="shared" si="74"/>
        <v>61.659500186148257</v>
      </c>
      <c r="P97" s="51" t="str">
        <f t="shared" si="65"/>
        <v>122.692307692308</v>
      </c>
      <c r="Q97" s="18" t="str">
        <f t="shared" si="66"/>
        <v>1+0.397103517258085i</v>
      </c>
      <c r="R97" s="18">
        <f t="shared" si="75"/>
        <v>1.0759605956626581</v>
      </c>
      <c r="S97" s="18">
        <f t="shared" si="76"/>
        <v>0.3780069180035257</v>
      </c>
      <c r="T97" s="18" t="str">
        <f t="shared" si="67"/>
        <v>1+0.0000794207034516171i</v>
      </c>
      <c r="U97" s="18">
        <f t="shared" si="77"/>
        <v>1.0000000031538241</v>
      </c>
      <c r="V97" s="18">
        <f t="shared" si="78"/>
        <v>7.9420703284631156E-5</v>
      </c>
      <c r="W97" s="32" t="str">
        <f t="shared" si="68"/>
        <v>1-0.0037621175793449i</v>
      </c>
      <c r="X97" s="18">
        <f t="shared" si="79"/>
        <v>1.0000070767393003</v>
      </c>
      <c r="Y97" s="18">
        <f t="shared" si="80"/>
        <v>-3.7620998304159392E-3</v>
      </c>
      <c r="Z97" s="32" t="str">
        <f t="shared" si="69"/>
        <v>0.999999875856524+0.000401463460565767i</v>
      </c>
      <c r="AA97" s="18">
        <f t="shared" si="81"/>
        <v>0.99999995644298567</v>
      </c>
      <c r="AB97" s="18">
        <f t="shared" si="82"/>
        <v>4.0146348883649203E-4</v>
      </c>
      <c r="AC97" s="69" t="str">
        <f t="shared" si="83"/>
        <v>105.808156302391-42.5178860812153i</v>
      </c>
      <c r="AD97" s="67">
        <f t="shared" si="84"/>
        <v>41.140481241334037</v>
      </c>
      <c r="AE97" s="64">
        <f t="shared" si="85"/>
        <v>-21.892205163174332</v>
      </c>
      <c r="AF97" s="32" t="str">
        <f t="shared" si="70"/>
        <v>-0.0000198412698412698</v>
      </c>
      <c r="AG97" s="32" t="str">
        <f t="shared" si="71"/>
        <v>0.0000134046650703705i</v>
      </c>
      <c r="AH97" s="32">
        <f t="shared" si="86"/>
        <v>1.3404665070370499E-5</v>
      </c>
      <c r="AI97" s="32">
        <f t="shared" si="87"/>
        <v>1.5707963267948966</v>
      </c>
      <c r="AJ97" s="32" t="str">
        <f t="shared" si="72"/>
        <v>1+0.00465277899752871i</v>
      </c>
      <c r="AK97" s="32">
        <f t="shared" si="88"/>
        <v>1.0000108241176191</v>
      </c>
      <c r="AL97" s="32">
        <f t="shared" si="89"/>
        <v>4.6527454229650161E-3</v>
      </c>
      <c r="AM97" s="32" t="str">
        <f t="shared" si="73"/>
        <v>1+0.100616345821558i</v>
      </c>
      <c r="AN97" s="32">
        <f t="shared" si="90"/>
        <v>1.0050490779292738</v>
      </c>
      <c r="AO97" s="32">
        <f t="shared" si="91"/>
        <v>0.10027885856567934</v>
      </c>
      <c r="AP97" s="61" t="str">
        <f t="shared" si="92"/>
        <v>-0.142039938773211+1.48083735162833i</v>
      </c>
      <c r="AQ97" s="52">
        <f t="shared" si="93"/>
        <v>3.4499213009171226</v>
      </c>
      <c r="AR97" s="64">
        <f t="shared" si="94"/>
        <v>95.478972694318045</v>
      </c>
      <c r="AS97" s="61" t="str">
        <f t="shared" si="95"/>
        <v>47.9330897784439+162.723907895251i</v>
      </c>
      <c r="AT97" s="67">
        <f t="shared" si="96"/>
        <v>44.590402542251141</v>
      </c>
      <c r="AU97" s="64">
        <f t="shared" si="97"/>
        <v>73.586767531143721</v>
      </c>
    </row>
    <row r="98" spans="14:47" x14ac:dyDescent="0.25">
      <c r="N98" s="11">
        <v>80</v>
      </c>
      <c r="O98" s="53">
        <f t="shared" si="74"/>
        <v>63.095734448019364</v>
      </c>
      <c r="P98" s="51" t="str">
        <f t="shared" si="65"/>
        <v>122.692307692308</v>
      </c>
      <c r="Q98" s="18" t="str">
        <f t="shared" si="66"/>
        <v>1+0.406353246420237i</v>
      </c>
      <c r="R98" s="18">
        <f t="shared" si="75"/>
        <v>1.0794086162692356</v>
      </c>
      <c r="S98" s="18">
        <f t="shared" si="76"/>
        <v>0.38597128677266257</v>
      </c>
      <c r="T98" s="18" t="str">
        <f t="shared" si="67"/>
        <v>1+0.0000812706492840476i</v>
      </c>
      <c r="U98" s="18">
        <f t="shared" si="77"/>
        <v>1.0000000033024592</v>
      </c>
      <c r="V98" s="18">
        <f t="shared" si="78"/>
        <v>8.1270649105118938E-5</v>
      </c>
      <c r="W98" s="32" t="str">
        <f t="shared" si="68"/>
        <v>1-0.00384974855507987i</v>
      </c>
      <c r="X98" s="18">
        <f t="shared" si="79"/>
        <v>1.0000074102545127</v>
      </c>
      <c r="Y98" s="18">
        <f t="shared" si="80"/>
        <v>-3.8497295367674526E-3</v>
      </c>
      <c r="Z98" s="32" t="str">
        <f t="shared" si="69"/>
        <v>0.999999870005822+0.000410814745853729i</v>
      </c>
      <c r="AA98" s="18">
        <f t="shared" si="81"/>
        <v>0.99999995439020717</v>
      </c>
      <c r="AB98" s="18">
        <f t="shared" si="82"/>
        <v>4.1081477614635667E-4</v>
      </c>
      <c r="AC98" s="69" t="str">
        <f t="shared" si="83"/>
        <v>105.125202170644-43.2307342450171i</v>
      </c>
      <c r="AD98" s="67">
        <f t="shared" si="84"/>
        <v>41.11269388189897</v>
      </c>
      <c r="AE98" s="64">
        <f t="shared" si="85"/>
        <v>-22.353980487673553</v>
      </c>
      <c r="AF98" s="32" t="str">
        <f t="shared" si="70"/>
        <v>-0.0000198412698412698</v>
      </c>
      <c r="AG98" s="32" t="str">
        <f t="shared" si="71"/>
        <v>0.0000137168998303807i</v>
      </c>
      <c r="AH98" s="32">
        <f t="shared" si="86"/>
        <v>1.3716899830380699E-5</v>
      </c>
      <c r="AI98" s="32">
        <f t="shared" si="87"/>
        <v>1.5707963267948966</v>
      </c>
      <c r="AJ98" s="32" t="str">
        <f t="shared" si="72"/>
        <v>1+0.00476115614280219i</v>
      </c>
      <c r="AK98" s="32">
        <f t="shared" si="88"/>
        <v>1.0000113342396757</v>
      </c>
      <c r="AL98" s="32">
        <f t="shared" si="89"/>
        <v>4.7611201670310502E-3</v>
      </c>
      <c r="AM98" s="32" t="str">
        <f t="shared" si="73"/>
        <v>1+0.102960001588097i</v>
      </c>
      <c r="AN98" s="32">
        <f t="shared" si="90"/>
        <v>1.0052864079092192</v>
      </c>
      <c r="AO98" s="32">
        <f t="shared" si="91"/>
        <v>0.10259848010424209</v>
      </c>
      <c r="AP98" s="61" t="str">
        <f t="shared" si="92"/>
        <v>-0.142039793859479+1.44715981486148i</v>
      </c>
      <c r="AQ98" s="52">
        <f t="shared" si="93"/>
        <v>3.2519676939949029</v>
      </c>
      <c r="AR98" s="64">
        <f t="shared" si="94"/>
        <v>95.605667803104538</v>
      </c>
      <c r="AS98" s="61" t="str">
        <f t="shared" si="95"/>
        <v>47.6298193205905+158.273452691101i</v>
      </c>
      <c r="AT98" s="67">
        <f t="shared" si="96"/>
        <v>44.364661575893876</v>
      </c>
      <c r="AU98" s="64">
        <f t="shared" si="97"/>
        <v>73.251687315430985</v>
      </c>
    </row>
    <row r="99" spans="14:47" x14ac:dyDescent="0.25">
      <c r="N99" s="11">
        <v>81</v>
      </c>
      <c r="O99" s="53">
        <f t="shared" si="74"/>
        <v>64.565422903465588</v>
      </c>
      <c r="P99" s="51" t="str">
        <f t="shared" si="65"/>
        <v>122.692307692308</v>
      </c>
      <c r="Q99" s="18" t="str">
        <f t="shared" si="66"/>
        <v>1+0.415818429452363i</v>
      </c>
      <c r="R99" s="18">
        <f t="shared" si="75"/>
        <v>1.083007371291733</v>
      </c>
      <c r="S99" s="18">
        <f t="shared" si="76"/>
        <v>0.39406814376553917</v>
      </c>
      <c r="T99" s="18" t="str">
        <f t="shared" si="67"/>
        <v>1+0.0000831636858904727i</v>
      </c>
      <c r="U99" s="18">
        <f t="shared" si="77"/>
        <v>1.0000000034580994</v>
      </c>
      <c r="V99" s="18">
        <f t="shared" si="78"/>
        <v>8.3163685698747175E-5</v>
      </c>
      <c r="W99" s="32" t="str">
        <f t="shared" si="68"/>
        <v>1-0.00393942071845619i</v>
      </c>
      <c r="X99" s="18">
        <f t="shared" si="79"/>
        <v>1.0000077594876937</v>
      </c>
      <c r="Y99" s="18">
        <f t="shared" si="80"/>
        <v>-3.9394003399758218E-3</v>
      </c>
      <c r="Z99" s="32" t="str">
        <f t="shared" si="69"/>
        <v>0.999999863879385+0.00042038385055772i</v>
      </c>
      <c r="AA99" s="18">
        <f t="shared" si="81"/>
        <v>0.99999995224068394</v>
      </c>
      <c r="AB99" s="18">
        <f t="shared" si="82"/>
        <v>4.2038388301685541E-4</v>
      </c>
      <c r="AC99" s="69" t="str">
        <f t="shared" si="83"/>
        <v>104.419337500829-43.9441958657867i</v>
      </c>
      <c r="AD99" s="67">
        <f t="shared" si="84"/>
        <v>41.083786292760522</v>
      </c>
      <c r="AE99" s="64">
        <f t="shared" si="85"/>
        <v>-22.823473785685774</v>
      </c>
      <c r="AF99" s="32" t="str">
        <f t="shared" si="70"/>
        <v>-0.0000198412698412698</v>
      </c>
      <c r="AG99" s="32" t="str">
        <f t="shared" si="71"/>
        <v>0.0000140364074722456i</v>
      </c>
      <c r="AH99" s="32">
        <f t="shared" si="86"/>
        <v>1.4036407472245601E-5</v>
      </c>
      <c r="AI99" s="32">
        <f t="shared" si="87"/>
        <v>1.5707963267948966</v>
      </c>
      <c r="AJ99" s="32" t="str">
        <f t="shared" si="72"/>
        <v>1+0.00487205771608395i</v>
      </c>
      <c r="AK99" s="32">
        <f t="shared" si="88"/>
        <v>1.000011868402765</v>
      </c>
      <c r="AL99" s="32">
        <f t="shared" si="89"/>
        <v>4.8720191673753618E-3</v>
      </c>
      <c r="AM99" s="32" t="str">
        <f t="shared" si="73"/>
        <v>1+0.105358248110315i</v>
      </c>
      <c r="AN99" s="32">
        <f t="shared" si="90"/>
        <v>1.0055348628689482</v>
      </c>
      <c r="AO99" s="32">
        <f t="shared" si="91"/>
        <v>0.10497098592993172</v>
      </c>
      <c r="AP99" s="61" t="str">
        <f t="shared" si="92"/>
        <v>-0.14203964211649+1.41424958131884i</v>
      </c>
      <c r="AQ99" s="52">
        <f t="shared" si="93"/>
        <v>3.0541094931407242</v>
      </c>
      <c r="AR99" s="64">
        <f t="shared" si="94"/>
        <v>95.735248329114782</v>
      </c>
      <c r="AS99" s="61" t="str">
        <f t="shared" si="95"/>
        <v>47.3163752759232+153.916822196011i</v>
      </c>
      <c r="AT99" s="67">
        <f t="shared" si="96"/>
        <v>44.137895785901222</v>
      </c>
      <c r="AU99" s="64">
        <f t="shared" si="97"/>
        <v>72.91177454342899</v>
      </c>
    </row>
    <row r="100" spans="14:47" x14ac:dyDescent="0.25">
      <c r="N100" s="11">
        <v>82</v>
      </c>
      <c r="O100" s="53">
        <f t="shared" si="74"/>
        <v>66.069344800759623</v>
      </c>
      <c r="P100" s="51" t="str">
        <f t="shared" si="65"/>
        <v>122.692307692308</v>
      </c>
      <c r="Q100" s="18" t="str">
        <f t="shared" si="66"/>
        <v>1+0.425504084919793i</v>
      </c>
      <c r="R100" s="18">
        <f t="shared" si="75"/>
        <v>1.0867629577251106</v>
      </c>
      <c r="S100" s="18">
        <f t="shared" si="76"/>
        <v>0.40229753441521654</v>
      </c>
      <c r="T100" s="18" t="str">
        <f t="shared" si="67"/>
        <v>1+0.0000851008169839587i</v>
      </c>
      <c r="U100" s="18">
        <f t="shared" si="77"/>
        <v>1.0000000036210746</v>
      </c>
      <c r="V100" s="18">
        <f t="shared" si="78"/>
        <v>8.5100816778521101E-5</v>
      </c>
      <c r="W100" s="32" t="str">
        <f t="shared" si="68"/>
        <v>1-0.00403118161484183i</v>
      </c>
      <c r="X100" s="18">
        <f t="shared" si="79"/>
        <v>1.0000081251795967</v>
      </c>
      <c r="Y100" s="18">
        <f t="shared" si="80"/>
        <v>-4.0311597789162868E-3</v>
      </c>
      <c r="Z100" s="32" t="str">
        <f t="shared" si="69"/>
        <v>0.999999857464218+0.000430175848343715i</v>
      </c>
      <c r="AA100" s="18">
        <f t="shared" si="81"/>
        <v>0.99999994998985708</v>
      </c>
      <c r="AB100" s="18">
        <f t="shared" si="82"/>
        <v>4.3017588312430527E-4</v>
      </c>
      <c r="AC100" s="69" t="str">
        <f t="shared" si="83"/>
        <v>103.690176299613-44.6575266113162i</v>
      </c>
      <c r="AD100" s="67">
        <f t="shared" si="84"/>
        <v>41.053721199950594</v>
      </c>
      <c r="AE100" s="64">
        <f t="shared" si="85"/>
        <v>-23.300690617302426</v>
      </c>
      <c r="AF100" s="32" t="str">
        <f t="shared" si="70"/>
        <v>-0.0000198412698412698</v>
      </c>
      <c r="AG100" s="32" t="str">
        <f t="shared" si="71"/>
        <v>0.0000143633574031462i</v>
      </c>
      <c r="AH100" s="32">
        <f t="shared" si="86"/>
        <v>1.43633574031462E-5</v>
      </c>
      <c r="AI100" s="32">
        <f t="shared" si="87"/>
        <v>1.5707963267948966</v>
      </c>
      <c r="AJ100" s="32" t="str">
        <f t="shared" si="72"/>
        <v>1+0.00498554251885608i</v>
      </c>
      <c r="AK100" s="32">
        <f t="shared" si="88"/>
        <v>1.0000124277398792</v>
      </c>
      <c r="AL100" s="32">
        <f t="shared" si="89"/>
        <v>4.9855012131983607E-3</v>
      </c>
      <c r="AM100" s="32" t="str">
        <f t="shared" si="73"/>
        <v>1+0.107812356970263i</v>
      </c>
      <c r="AN100" s="32">
        <f t="shared" si="90"/>
        <v>1.0057949613691068</v>
      </c>
      <c r="AO100" s="32">
        <f t="shared" si="91"/>
        <v>0.10739752708379327</v>
      </c>
      <c r="AP100" s="61" t="str">
        <f t="shared" si="92"/>
        <v>-0.142039483222423+1.38208920155432i</v>
      </c>
      <c r="AQ100" s="52">
        <f t="shared" si="93"/>
        <v>2.8563510957358531</v>
      </c>
      <c r="AR100" s="64">
        <f t="shared" si="94"/>
        <v>95.867776853769683</v>
      </c>
      <c r="AS100" s="61" t="str">
        <f t="shared" si="95"/>
        <v>46.9925862407858+149.652204972822i</v>
      </c>
      <c r="AT100" s="67">
        <f t="shared" si="96"/>
        <v>43.910072295686447</v>
      </c>
      <c r="AU100" s="64">
        <f t="shared" si="97"/>
        <v>72.567086236467318</v>
      </c>
    </row>
    <row r="101" spans="14:47" x14ac:dyDescent="0.25">
      <c r="N101" s="11">
        <v>83</v>
      </c>
      <c r="O101" s="53">
        <f t="shared" si="74"/>
        <v>67.60829753919819</v>
      </c>
      <c r="P101" s="51" t="str">
        <f t="shared" si="65"/>
        <v>122.692307692308</v>
      </c>
      <c r="Q101" s="18" t="str">
        <f t="shared" si="66"/>
        <v>1+0.435415348285259i</v>
      </c>
      <c r="R101" s="18">
        <f t="shared" si="75"/>
        <v>1.0906816792824447</v>
      </c>
      <c r="S101" s="18">
        <f t="shared" si="76"/>
        <v>0.41065936245900403</v>
      </c>
      <c r="T101" s="18" t="str">
        <f t="shared" si="67"/>
        <v>1+0.0000870830696570519i</v>
      </c>
      <c r="U101" s="18">
        <f t="shared" si="77"/>
        <v>1.0000000037917305</v>
      </c>
      <c r="V101" s="18">
        <f t="shared" si="78"/>
        <v>8.7083069436921551E-5</v>
      </c>
      <c r="W101" s="32" t="str">
        <f t="shared" si="68"/>
        <v>1-0.00412507989707866i</v>
      </c>
      <c r="X101" s="18">
        <f t="shared" si="79"/>
        <v>1.0000085081058847</v>
      </c>
      <c r="Y101" s="18">
        <f t="shared" si="80"/>
        <v>-4.1250564994736432E-3</v>
      </c>
      <c r="Z101" s="32" t="str">
        <f t="shared" si="69"/>
        <v>0.999999850746714+0.000440195931058552i</v>
      </c>
      <c r="AA101" s="18">
        <f t="shared" si="81"/>
        <v>0.99999994763295263</v>
      </c>
      <c r="AB101" s="18">
        <f t="shared" si="82"/>
        <v>4.4019596832662575E-4</v>
      </c>
      <c r="AC101" s="69" t="str">
        <f t="shared" si="83"/>
        <v>102.937357699825-45.3699452612643i</v>
      </c>
      <c r="AD101" s="67">
        <f t="shared" si="84"/>
        <v>41.022460726902359</v>
      </c>
      <c r="AE101" s="64">
        <f t="shared" si="85"/>
        <v>-23.785628492905008</v>
      </c>
      <c r="AF101" s="32" t="str">
        <f t="shared" si="70"/>
        <v>-0.0000198412698412698</v>
      </c>
      <c r="AG101" s="32" t="str">
        <f t="shared" si="71"/>
        <v>0.0000146979229762634i</v>
      </c>
      <c r="AH101" s="32">
        <f t="shared" si="86"/>
        <v>1.4697922976263401E-5</v>
      </c>
      <c r="AI101" s="32">
        <f t="shared" si="87"/>
        <v>1.5707963267948966</v>
      </c>
      <c r="AJ101" s="32" t="str">
        <f t="shared" si="72"/>
        <v>1+0.00510167072226317i</v>
      </c>
      <c r="AK101" s="32">
        <f t="shared" si="88"/>
        <v>1.0000130134374043</v>
      </c>
      <c r="AL101" s="32">
        <f t="shared" si="89"/>
        <v>5.1016264624846154E-3</v>
      </c>
      <c r="AM101" s="32" t="str">
        <f t="shared" si="73"/>
        <v>1+0.110323629368941i</v>
      </c>
      <c r="AN101" s="32">
        <f t="shared" si="90"/>
        <v>1.0060672458623905</v>
      </c>
      <c r="AO101" s="32">
        <f t="shared" si="91"/>
        <v>0.10987927578599153</v>
      </c>
      <c r="AP101" s="61" t="str">
        <f t="shared" si="92"/>
        <v>-0.142039316840289+1.35066162370389i</v>
      </c>
      <c r="AQ101" s="52">
        <f t="shared" si="93"/>
        <v>2.6586970970201076</v>
      </c>
      <c r="AR101" s="64">
        <f t="shared" si="94"/>
        <v>96.003317093538712</v>
      </c>
      <c r="AS101" s="61" t="str">
        <f t="shared" si="95"/>
        <v>46.6582919689082+145.477854720625i</v>
      </c>
      <c r="AT101" s="67">
        <f t="shared" si="96"/>
        <v>43.681157823922462</v>
      </c>
      <c r="AU101" s="64">
        <f t="shared" si="97"/>
        <v>72.217688600633721</v>
      </c>
    </row>
    <row r="102" spans="14:47" x14ac:dyDescent="0.25">
      <c r="N102" s="11">
        <v>84</v>
      </c>
      <c r="O102" s="53">
        <f t="shared" si="74"/>
        <v>69.183097091893657</v>
      </c>
      <c r="P102" s="51" t="str">
        <f t="shared" si="65"/>
        <v>122.692307692308</v>
      </c>
      <c r="Q102" s="18" t="str">
        <f t="shared" si="66"/>
        <v>1+0.445557474631789i</v>
      </c>
      <c r="R102" s="18">
        <f t="shared" si="75"/>
        <v>1.0947700503759943</v>
      </c>
      <c r="S102" s="18">
        <f t="shared" si="76"/>
        <v>0.41915338311437633</v>
      </c>
      <c r="T102" s="18" t="str">
        <f t="shared" si="67"/>
        <v>1+0.0000891114949263579i</v>
      </c>
      <c r="U102" s="18">
        <f t="shared" si="77"/>
        <v>1.0000000039704293</v>
      </c>
      <c r="V102" s="18">
        <f t="shared" si="78"/>
        <v>8.9111494690483965E-5</v>
      </c>
      <c r="W102" s="32" t="str">
        <f t="shared" si="68"/>
        <v>1-0.00422116535127881i</v>
      </c>
      <c r="X102" s="18">
        <f t="shared" si="79"/>
        <v>1.0000089090787756</v>
      </c>
      <c r="Y102" s="18">
        <f t="shared" si="80"/>
        <v>-4.2211402803054012E-3</v>
      </c>
      <c r="Z102" s="32" t="str">
        <f t="shared" si="69"/>
        <v>0.999999843712623+0.000450449411482718i</v>
      </c>
      <c r="AA102" s="18">
        <f t="shared" si="81"/>
        <v>0.99999994516496982</v>
      </c>
      <c r="AB102" s="18">
        <f t="shared" si="82"/>
        <v>4.504494514161787E-4</v>
      </c>
      <c r="AC102" s="69" t="str">
        <f t="shared" si="83"/>
        <v>102.160548824377-46.0806340453414i</v>
      </c>
      <c r="AD102" s="67">
        <f t="shared" si="84"/>
        <v>40.98996643730419</v>
      </c>
      <c r="AE102" s="64">
        <f t="shared" si="85"/>
        <v>-24.27827648377621</v>
      </c>
      <c r="AF102" s="32" t="str">
        <f t="shared" si="70"/>
        <v>-0.0000198412698412698</v>
      </c>
      <c r="AG102" s="32" t="str">
        <f t="shared" si="71"/>
        <v>0.0000150402815826926i</v>
      </c>
      <c r="AH102" s="32">
        <f t="shared" si="86"/>
        <v>1.5040281582692599E-5</v>
      </c>
      <c r="AI102" s="32">
        <f t="shared" si="87"/>
        <v>1.5707963267948966</v>
      </c>
      <c r="AJ102" s="32" t="str">
        <f t="shared" si="72"/>
        <v>1+0.00522050389901579i</v>
      </c>
      <c r="AK102" s="32">
        <f t="shared" si="88"/>
        <v>1.0000136267376358</v>
      </c>
      <c r="AL102" s="32">
        <f t="shared" si="89"/>
        <v>5.2204564738435261E-3</v>
      </c>
      <c r="AM102" s="32" t="str">
        <f t="shared" si="73"/>
        <v>1+0.112893396816217i</v>
      </c>
      <c r="AN102" s="32">
        <f t="shared" si="90"/>
        <v>1.0063522837678185</v>
      </c>
      <c r="AO102" s="32">
        <f t="shared" si="91"/>
        <v>0.11241742554381426</v>
      </c>
      <c r="AP102" s="61" t="str">
        <f t="shared" si="92"/>
        <v>-0.142039142617225+1.31995018444444i</v>
      </c>
      <c r="AQ102" s="52">
        <f t="shared" si="93"/>
        <v>2.461152298535374</v>
      </c>
      <c r="AR102" s="64">
        <f t="shared" si="94"/>
        <v>96.141933904303741</v>
      </c>
      <c r="AS102" s="61" t="str">
        <f t="shared" si="95"/>
        <v>46.3133446431454+141.39208901474i</v>
      </c>
      <c r="AT102" s="67">
        <f t="shared" si="96"/>
        <v>43.451118735839557</v>
      </c>
      <c r="AU102" s="64">
        <f t="shared" si="97"/>
        <v>71.863657420527545</v>
      </c>
    </row>
    <row r="103" spans="14:47" x14ac:dyDescent="0.25">
      <c r="N103" s="11">
        <v>85</v>
      </c>
      <c r="O103" s="53">
        <f t="shared" si="74"/>
        <v>70.794578438413865</v>
      </c>
      <c r="P103" s="51" t="str">
        <f t="shared" si="65"/>
        <v>122.692307692308</v>
      </c>
      <c r="Q103" s="18" t="str">
        <f t="shared" si="66"/>
        <v>1+0.45593584144902i</v>
      </c>
      <c r="R103" s="18">
        <f t="shared" si="75"/>
        <v>1.0990347999575927</v>
      </c>
      <c r="S103" s="18">
        <f t="shared" si="76"/>
        <v>0.42777919633734757</v>
      </c>
      <c r="T103" s="18" t="str">
        <f t="shared" si="67"/>
        <v>1+0.0000911871682898042i</v>
      </c>
      <c r="U103" s="18">
        <f t="shared" si="77"/>
        <v>1.0000000041575499</v>
      </c>
      <c r="V103" s="18">
        <f t="shared" si="78"/>
        <v>9.118716803706074E-5</v>
      </c>
      <c r="W103" s="32" t="str">
        <f t="shared" si="68"/>
        <v>1-0.00431948892322194i</v>
      </c>
      <c r="X103" s="18">
        <f t="shared" si="79"/>
        <v>1.0000093289487642</v>
      </c>
      <c r="Y103" s="18">
        <f t="shared" si="80"/>
        <v>-4.3194620592034673E-3</v>
      </c>
      <c r="Z103" s="32" t="str">
        <f t="shared" si="69"/>
        <v>0.999999836347026+0.000460941726147256i</v>
      </c>
      <c r="AA103" s="18">
        <f t="shared" si="81"/>
        <v>0.99999994258067515</v>
      </c>
      <c r="AB103" s="18">
        <f t="shared" si="82"/>
        <v>4.6094176893672997E-4</v>
      </c>
      <c r="AC103" s="69" t="str">
        <f t="shared" si="83"/>
        <v>101.359447726588-46.7887391955008i</v>
      </c>
      <c r="AD103" s="67">
        <f t="shared" si="84"/>
        <v>40.956199382639078</v>
      </c>
      <c r="AE103" s="64">
        <f t="shared" si="85"/>
        <v>-24.778614837474521</v>
      </c>
      <c r="AF103" s="32" t="str">
        <f t="shared" si="70"/>
        <v>-0.0000198412698412698</v>
      </c>
      <c r="AG103" s="32" t="str">
        <f t="shared" si="71"/>
        <v>0.0000153906147454986i</v>
      </c>
      <c r="AH103" s="32">
        <f t="shared" si="86"/>
        <v>1.5390614745498599E-5</v>
      </c>
      <c r="AI103" s="32">
        <f t="shared" si="87"/>
        <v>1.5707963267948966</v>
      </c>
      <c r="AJ103" s="32" t="str">
        <f t="shared" si="72"/>
        <v>1+0.00534210505603722i</v>
      </c>
      <c r="AK103" s="32">
        <f t="shared" si="88"/>
        <v>1.0000142689414135</v>
      </c>
      <c r="AL103" s="32">
        <f t="shared" si="89"/>
        <v>5.3420542390887459E-3</v>
      </c>
      <c r="AM103" s="32" t="str">
        <f t="shared" si="73"/>
        <v>1+0.115523021836805i</v>
      </c>
      <c r="AN103" s="32">
        <f t="shared" si="90"/>
        <v>1.0066506685908012</v>
      </c>
      <c r="AO103" s="32">
        <f t="shared" si="91"/>
        <v>0.11501319123669239</v>
      </c>
      <c r="AP103" s="61" t="str">
        <f t="shared" si="92"/>
        <v>-0.142038960183739+1.28993860015864i</v>
      </c>
      <c r="AQ103" s="52">
        <f t="shared" si="93"/>
        <v>2.26372171688547</v>
      </c>
      <c r="AR103" s="64">
        <f t="shared" si="94"/>
        <v>96.283693284363764</v>
      </c>
      <c r="AS103" s="61" t="str">
        <f t="shared" si="95"/>
        <v>45.9576101811494+137.393287976925i</v>
      </c>
      <c r="AT103" s="67">
        <f t="shared" si="96"/>
        <v>43.219921099524548</v>
      </c>
      <c r="AU103" s="64">
        <f t="shared" si="97"/>
        <v>71.505078446889257</v>
      </c>
    </row>
    <row r="104" spans="14:47" x14ac:dyDescent="0.25">
      <c r="N104" s="11">
        <v>86</v>
      </c>
      <c r="O104" s="53">
        <f t="shared" si="74"/>
        <v>72.443596007499011</v>
      </c>
      <c r="P104" s="51" t="str">
        <f t="shared" si="65"/>
        <v>122.692307692308</v>
      </c>
      <c r="Q104" s="18" t="str">
        <f t="shared" si="66"/>
        <v>1+0.46655595148441i</v>
      </c>
      <c r="R104" s="18">
        <f t="shared" si="75"/>
        <v>1.1034828752026571</v>
      </c>
      <c r="S104" s="18">
        <f t="shared" si="76"/>
        <v>0.43653624020446058</v>
      </c>
      <c r="T104" s="18" t="str">
        <f t="shared" si="67"/>
        <v>1+0.0000933111902968821i</v>
      </c>
      <c r="U104" s="18">
        <f t="shared" si="77"/>
        <v>1.0000000043534891</v>
      </c>
      <c r="V104" s="18">
        <f t="shared" si="78"/>
        <v>9.3311190026062595E-5</v>
      </c>
      <c r="W104" s="32" t="str">
        <f t="shared" si="68"/>
        <v>1-0.00442010274536734i</v>
      </c>
      <c r="X104" s="18">
        <f t="shared" si="79"/>
        <v>1.0000097686064269</v>
      </c>
      <c r="Y104" s="18">
        <f t="shared" si="80"/>
        <v>-4.4200739600681171E-3</v>
      </c>
      <c r="Z104" s="32" t="str">
        <f t="shared" si="69"/>
        <v>0.999999828634299+0.00047167843821628i</v>
      </c>
      <c r="AA104" s="18">
        <f t="shared" si="81"/>
        <v>0.99999993987458646</v>
      </c>
      <c r="AB104" s="18">
        <f t="shared" si="82"/>
        <v>4.7167848406602745E-4</v>
      </c>
      <c r="AC104" s="69" t="str">
        <f t="shared" si="83"/>
        <v>100.533786392236-47.4933717271214i</v>
      </c>
      <c r="AD104" s="67">
        <f t="shared" si="84"/>
        <v>40.921120154521333</v>
      </c>
      <c r="AE104" s="64">
        <f t="shared" si="85"/>
        <v>-25.286614600326523</v>
      </c>
      <c r="AF104" s="32" t="str">
        <f t="shared" si="70"/>
        <v>-0.0000198412698412698</v>
      </c>
      <c r="AG104" s="32" t="str">
        <f t="shared" si="71"/>
        <v>0.0000157491082159616i</v>
      </c>
      <c r="AH104" s="32">
        <f t="shared" si="86"/>
        <v>1.57491082159616E-5</v>
      </c>
      <c r="AI104" s="32">
        <f t="shared" si="87"/>
        <v>1.5707963267948966</v>
      </c>
      <c r="AJ104" s="32" t="str">
        <f t="shared" si="72"/>
        <v>1+0.00546653866787046i</v>
      </c>
      <c r="AK104" s="32">
        <f t="shared" si="88"/>
        <v>1.0000149414108808</v>
      </c>
      <c r="AL104" s="32">
        <f t="shared" si="89"/>
        <v>5.4664842165730769E-3</v>
      </c>
      <c r="AM104" s="32" t="str">
        <f t="shared" si="73"/>
        <v>1+0.118213898692699i</v>
      </c>
      <c r="AN104" s="32">
        <f t="shared" si="90"/>
        <v>1.006963021090709</v>
      </c>
      <c r="AO104" s="32">
        <f t="shared" si="91"/>
        <v>0.11766780917614456</v>
      </c>
      <c r="AP104" s="61" t="str">
        <f t="shared" si="92"/>
        <v>-0.142038769152929+1.26061095830112i</v>
      </c>
      <c r="AQ104" s="52">
        <f t="shared" si="93"/>
        <v>2.0664105928198975</v>
      </c>
      <c r="AR104" s="64">
        <f t="shared" si="94"/>
        <v>96.428662375959291</v>
      </c>
      <c r="AS104" s="61" t="str">
        <f t="shared" si="95"/>
        <v>45.5909695684411+133.4798928686i</v>
      </c>
      <c r="AT104" s="67">
        <f t="shared" si="96"/>
        <v>42.987530747341253</v>
      </c>
      <c r="AU104" s="64">
        <f t="shared" si="97"/>
        <v>71.142047775632847</v>
      </c>
    </row>
    <row r="105" spans="14:47" x14ac:dyDescent="0.25">
      <c r="N105" s="11">
        <v>87</v>
      </c>
      <c r="O105" s="53">
        <f t="shared" si="74"/>
        <v>74.131024130091816</v>
      </c>
      <c r="P105" s="51" t="str">
        <f t="shared" si="65"/>
        <v>122.692307692308</v>
      </c>
      <c r="Q105" s="18" t="str">
        <f t="shared" si="66"/>
        <v>1+0.477423435660877i</v>
      </c>
      <c r="R105" s="18">
        <f t="shared" si="75"/>
        <v>1.1081214450222663</v>
      </c>
      <c r="S105" s="18">
        <f t="shared" si="76"/>
        <v>0.44542378446227954</v>
      </c>
      <c r="T105" s="18" t="str">
        <f t="shared" si="67"/>
        <v>1+0.0000954846871321755i</v>
      </c>
      <c r="U105" s="18">
        <f t="shared" si="77"/>
        <v>1.0000000045586628</v>
      </c>
      <c r="V105" s="18">
        <f t="shared" si="78"/>
        <v>9.5484686841987171E-5</v>
      </c>
      <c r="W105" s="32" t="str">
        <f t="shared" si="68"/>
        <v>1-0.00452306016449532i</v>
      </c>
      <c r="X105" s="18">
        <f t="shared" si="79"/>
        <v>1.0000102289843098</v>
      </c>
      <c r="Y105" s="18">
        <f t="shared" si="80"/>
        <v>-4.5230293205085351E-3</v>
      </c>
      <c r="Z105" s="32" t="str">
        <f t="shared" si="69"/>
        <v>0.999999820558082+0.000482665240436651i</v>
      </c>
      <c r="AA105" s="18">
        <f t="shared" si="81"/>
        <v>0.99999993704096335</v>
      </c>
      <c r="AB105" s="18">
        <f t="shared" si="82"/>
        <v>4.8266528956554072E-4</v>
      </c>
      <c r="AC105" s="69" t="str">
        <f t="shared" si="83"/>
        <v>99.6833337865381-48.1936084634475i</v>
      </c>
      <c r="AD105" s="67">
        <f t="shared" si="84"/>
        <v>40.884688941915435</v>
      </c>
      <c r="AE105" s="64">
        <f t="shared" si="85"/>
        <v>-25.802237249557944</v>
      </c>
      <c r="AF105" s="32" t="str">
        <f t="shared" si="70"/>
        <v>-0.0000198412698412698</v>
      </c>
      <c r="AG105" s="32" t="str">
        <f t="shared" si="71"/>
        <v>0.0000161159520720647i</v>
      </c>
      <c r="AH105" s="32">
        <f t="shared" si="86"/>
        <v>1.6115952072064701E-5</v>
      </c>
      <c r="AI105" s="32">
        <f t="shared" si="87"/>
        <v>1.5707963267948966</v>
      </c>
      <c r="AJ105" s="32" t="str">
        <f t="shared" si="72"/>
        <v>1+0.00559387071086362i</v>
      </c>
      <c r="AK105" s="32">
        <f t="shared" si="88"/>
        <v>1.000015645572373</v>
      </c>
      <c r="AL105" s="32">
        <f t="shared" si="89"/>
        <v>5.5938123652965795E-3</v>
      </c>
      <c r="AM105" s="32" t="str">
        <f t="shared" si="73"/>
        <v>1+0.120967454122426i</v>
      </c>
      <c r="AN105" s="32">
        <f t="shared" si="90"/>
        <v>1.0072899904977024</v>
      </c>
      <c r="AO105" s="32">
        <f t="shared" si="91"/>
        <v>0.12038253713837553</v>
      </c>
      <c r="AP105" s="61" t="str">
        <f t="shared" si="92"/>
        <v>-0.142038569119667+1.2319517089614i</v>
      </c>
      <c r="AQ105" s="52">
        <f t="shared" si="93"/>
        <v>1.8692244006488234</v>
      </c>
      <c r="AR105" s="64">
        <f t="shared" si="94"/>
        <v>96.576909465186219</v>
      </c>
      <c r="AS105" s="61" t="str">
        <f t="shared" si="95"/>
        <v>45.2133202114427+129.650404600157i</v>
      </c>
      <c r="AT105" s="67">
        <f t="shared" si="96"/>
        <v>42.753913342564275</v>
      </c>
      <c r="AU105" s="64">
        <f t="shared" si="97"/>
        <v>70.774672215628314</v>
      </c>
    </row>
    <row r="106" spans="14:47" x14ac:dyDescent="0.25">
      <c r="N106" s="11">
        <v>88</v>
      </c>
      <c r="O106" s="53">
        <f t="shared" si="74"/>
        <v>75.857757502918361</v>
      </c>
      <c r="P106" s="51" t="str">
        <f t="shared" si="65"/>
        <v>122.692307692308</v>
      </c>
      <c r="Q106" s="18" t="str">
        <f t="shared" si="66"/>
        <v>1+0.488544056062377i</v>
      </c>
      <c r="R106" s="18">
        <f t="shared" si="75"/>
        <v>1.1129579033880297</v>
      </c>
      <c r="S106" s="18">
        <f t="shared" si="76"/>
        <v>0.45444092429079463</v>
      </c>
      <c r="T106" s="18" t="str">
        <f t="shared" si="67"/>
        <v>1+0.0000977088112124755i</v>
      </c>
      <c r="U106" s="18">
        <f t="shared" si="77"/>
        <v>1.0000000047735058</v>
      </c>
      <c r="V106" s="18">
        <f t="shared" si="78"/>
        <v>9.7708810901533103E-5</v>
      </c>
      <c r="W106" s="32" t="str">
        <f t="shared" si="68"/>
        <v>1-0.0046284157699923i</v>
      </c>
      <c r="X106" s="18">
        <f t="shared" si="79"/>
        <v>1.0000107110589065</v>
      </c>
      <c r="Y106" s="18">
        <f t="shared" si="80"/>
        <v>-4.6283827200841289E-3</v>
      </c>
      <c r="Z106" s="32" t="str">
        <f t="shared" si="69"/>
        <v>0.999999812101245+0.00049390795815633i</v>
      </c>
      <c r="AA106" s="18">
        <f t="shared" si="81"/>
        <v>0.99999993407379595</v>
      </c>
      <c r="AB106" s="18">
        <f t="shared" si="82"/>
        <v>4.9390801079888375E-4</v>
      </c>
      <c r="AC106" s="69" t="str">
        <f t="shared" si="83"/>
        <v>98.8078989271822-48.8884933165508i</v>
      </c>
      <c r="AD106" s="67">
        <f t="shared" si="84"/>
        <v>40.846865593296656</v>
      </c>
      <c r="AE106" s="64">
        <f t="shared" si="85"/>
        <v>-26.325434337719329</v>
      </c>
      <c r="AF106" s="32" t="str">
        <f t="shared" si="70"/>
        <v>-0.0000198412698412698</v>
      </c>
      <c r="AG106" s="32" t="str">
        <f t="shared" si="71"/>
        <v>0.0000164913408192763i</v>
      </c>
      <c r="AH106" s="32">
        <f t="shared" si="86"/>
        <v>1.64913408192763E-5</v>
      </c>
      <c r="AI106" s="32">
        <f t="shared" si="87"/>
        <v>1.5707963267948966</v>
      </c>
      <c r="AJ106" s="32" t="str">
        <f t="shared" si="72"/>
        <v>1+0.0057241686981513i</v>
      </c>
      <c r="AK106" s="32">
        <f t="shared" si="88"/>
        <v>1.0000163829194424</v>
      </c>
      <c r="AL106" s="32">
        <f t="shared" si="89"/>
        <v>5.7241061798051582E-3</v>
      </c>
      <c r="AM106" s="32" t="str">
        <f t="shared" si="73"/>
        <v>1+0.123785148097522i</v>
      </c>
      <c r="AN106" s="32">
        <f t="shared" si="90"/>
        <v>1.0076322557806123</v>
      </c>
      <c r="AO106" s="32">
        <f t="shared" si="91"/>
        <v>0.12315865436714946</v>
      </c>
      <c r="AP106" s="61" t="str">
        <f t="shared" si="92"/>
        <v>-0.14203835965973+1.20394565661908i</v>
      </c>
      <c r="AQ106" s="52">
        <f t="shared" si="93"/>
        <v>1.6721688579960516</v>
      </c>
      <c r="AR106" s="64">
        <f t="shared" si="94"/>
        <v>96.728503980160497</v>
      </c>
      <c r="AS106" s="61" t="str">
        <f t="shared" si="95"/>
        <v>44.8245773020709+125.903382149957i</v>
      </c>
      <c r="AT106" s="67">
        <f t="shared" si="96"/>
        <v>42.519034451292733</v>
      </c>
      <c r="AU106" s="64">
        <f t="shared" si="97"/>
        <v>70.403069642441238</v>
      </c>
    </row>
    <row r="107" spans="14:47" x14ac:dyDescent="0.25">
      <c r="N107" s="11">
        <v>89</v>
      </c>
      <c r="O107" s="53">
        <f t="shared" si="74"/>
        <v>77.624711662869217</v>
      </c>
      <c r="P107" s="51" t="str">
        <f t="shared" si="65"/>
        <v>122.692307692308</v>
      </c>
      <c r="Q107" s="18" t="str">
        <f t="shared" si="66"/>
        <v>1+0.499923708989047i</v>
      </c>
      <c r="R107" s="18">
        <f t="shared" si="75"/>
        <v>1.1179998724549862</v>
      </c>
      <c r="S107" s="18">
        <f t="shared" si="76"/>
        <v>0.4635865743295608</v>
      </c>
      <c r="T107" s="18" t="str">
        <f t="shared" si="67"/>
        <v>1+0.0000999847417978095i</v>
      </c>
      <c r="U107" s="18">
        <f t="shared" si="77"/>
        <v>1.0000000049984743</v>
      </c>
      <c r="V107" s="18">
        <f t="shared" si="78"/>
        <v>9.9984741464628719E-5</v>
      </c>
      <c r="W107" s="32" t="str">
        <f t="shared" si="68"/>
        <v>1-0.00473622542279485i</v>
      </c>
      <c r="X107" s="18">
        <f t="shared" si="79"/>
        <v>1.0000112158527301</v>
      </c>
      <c r="Y107" s="18">
        <f t="shared" si="80"/>
        <v>-4.7361900092016598E-3</v>
      </c>
      <c r="Z107" s="32" t="str">
        <f t="shared" si="69"/>
        <v>0.999999803245849+0.000505412552413069i</v>
      </c>
      <c r="AA107" s="18">
        <f t="shared" si="81"/>
        <v>0.99999993096679018</v>
      </c>
      <c r="AB107" s="18">
        <f t="shared" si="82"/>
        <v>5.0541260882058184E-4</v>
      </c>
      <c r="AC107" s="69" t="str">
        <f t="shared" si="83"/>
        <v>97.9073339623592-49.5770388367957i</v>
      </c>
      <c r="AD107" s="67">
        <f t="shared" si="84"/>
        <v>40.807609683777045</v>
      </c>
      <c r="AE107" s="64">
        <f t="shared" si="85"/>
        <v>-26.856147152207438</v>
      </c>
      <c r="AF107" s="32" t="str">
        <f t="shared" si="70"/>
        <v>-0.0000198412698412698</v>
      </c>
      <c r="AG107" s="32" t="str">
        <f t="shared" si="71"/>
        <v>0.000016875473493679i</v>
      </c>
      <c r="AH107" s="32">
        <f t="shared" si="86"/>
        <v>1.6875473493678998E-5</v>
      </c>
      <c r="AI107" s="32">
        <f t="shared" si="87"/>
        <v>1.5707963267948966</v>
      </c>
      <c r="AJ107" s="32" t="str">
        <f t="shared" si="72"/>
        <v>1+0.00585750171545108i</v>
      </c>
      <c r="AK107" s="32">
        <f t="shared" si="88"/>
        <v>1.0000171550160259</v>
      </c>
      <c r="AL107" s="32">
        <f t="shared" si="89"/>
        <v>5.8574347258983231E-3</v>
      </c>
      <c r="AM107" s="32" t="str">
        <f t="shared" si="73"/>
        <v>1+0.12666847459663i</v>
      </c>
      <c r="AN107" s="32">
        <f t="shared" si="90"/>
        <v>1.0079905269677076</v>
      </c>
      <c r="AO107" s="32">
        <f t="shared" si="91"/>
        <v>0.12599746154439864</v>
      </c>
      <c r="AP107" s="61" t="str">
        <f t="shared" si="92"/>
        <v>-0.142038140328913+1.17657795208696i</v>
      </c>
      <c r="AQ107" s="52">
        <f t="shared" si="93"/>
        <v>1.4752499358967905</v>
      </c>
      <c r="AR107" s="64">
        <f t="shared" si="94"/>
        <v>96.883516487288588</v>
      </c>
      <c r="AS107" s="61" t="str">
        <f t="shared" si="95"/>
        <v>44.4246751845574+122.237440887119i</v>
      </c>
      <c r="AT107" s="67">
        <f t="shared" si="96"/>
        <v>42.282859619673808</v>
      </c>
      <c r="AU107" s="64">
        <f t="shared" si="97"/>
        <v>70.027369335081119</v>
      </c>
    </row>
    <row r="108" spans="14:47" x14ac:dyDescent="0.25">
      <c r="N108" s="11">
        <v>90</v>
      </c>
      <c r="O108" s="53">
        <f t="shared" si="74"/>
        <v>79.432823472428197</v>
      </c>
      <c r="P108" s="51" t="str">
        <f t="shared" si="65"/>
        <v>122.692307692308</v>
      </c>
      <c r="Q108" s="18" t="str">
        <f t="shared" si="66"/>
        <v>1+0.511568428083495i</v>
      </c>
      <c r="R108" s="18">
        <f t="shared" si="75"/>
        <v>1.1232552054683824</v>
      </c>
      <c r="S108" s="18">
        <f t="shared" si="76"/>
        <v>0.47285946301740817</v>
      </c>
      <c r="T108" s="18" t="str">
        <f t="shared" si="67"/>
        <v>1+0.000102313685616699i</v>
      </c>
      <c r="U108" s="18">
        <f t="shared" si="77"/>
        <v>1.000000005234045</v>
      </c>
      <c r="V108" s="18">
        <f t="shared" si="78"/>
        <v>1.0231368525968937E-4</v>
      </c>
      <c r="W108" s="32" t="str">
        <f t="shared" si="68"/>
        <v>1-0.00484654628500793i</v>
      </c>
      <c r="X108" s="18">
        <f t="shared" si="79"/>
        <v>1.0000117444364804</v>
      </c>
      <c r="Y108" s="18">
        <f t="shared" si="80"/>
        <v>-4.8465083386832275E-3</v>
      </c>
      <c r="Z108" s="32" t="str">
        <f t="shared" si="69"/>
        <v>0.999999793973112+0.000517185123095023i</v>
      </c>
      <c r="AA108" s="18">
        <f t="shared" si="81"/>
        <v>0.99999992771335644</v>
      </c>
      <c r="AB108" s="18">
        <f t="shared" si="82"/>
        <v>5.1718518353676183E-4</v>
      </c>
      <c r="AC108" s="69" t="str">
        <f t="shared" si="83"/>
        <v>96.9815372307094-50.258228041208i</v>
      </c>
      <c r="AD108" s="67">
        <f t="shared" si="84"/>
        <v>40.766880587187551</v>
      </c>
      <c r="AE108" s="64">
        <f t="shared" si="85"/>
        <v>-27.394306392792974</v>
      </c>
      <c r="AF108" s="32" t="str">
        <f t="shared" si="70"/>
        <v>-0.0000198412698412698</v>
      </c>
      <c r="AG108" s="32" t="str">
        <f t="shared" si="71"/>
        <v>0.0000172685537675014i</v>
      </c>
      <c r="AH108" s="32">
        <f t="shared" si="86"/>
        <v>1.7268553767501399E-5</v>
      </c>
      <c r="AI108" s="32">
        <f t="shared" si="87"/>
        <v>1.5707963267948966</v>
      </c>
      <c r="AJ108" s="32" t="str">
        <f t="shared" si="72"/>
        <v>1+0.00599394045769359i</v>
      </c>
      <c r="AK108" s="32">
        <f t="shared" si="88"/>
        <v>1.0000179634997615</v>
      </c>
      <c r="AL108" s="32">
        <f t="shared" si="89"/>
        <v>5.9938686771642017E-3</v>
      </c>
      <c r="AM108" s="32" t="str">
        <f t="shared" si="73"/>
        <v>1+0.129618962397624i</v>
      </c>
      <c r="AN108" s="32">
        <f t="shared" si="90"/>
        <v>1.0083655465222108</v>
      </c>
      <c r="AO108" s="32">
        <f t="shared" si="91"/>
        <v>0.12890028072587034</v>
      </c>
      <c r="AP108" s="61" t="str">
        <f t="shared" si="92"/>
        <v>-0.142037910662078+1.14983408463777i</v>
      </c>
      <c r="AQ108" s="52">
        <f t="shared" si="93"/>
        <v>1.2784738692458553</v>
      </c>
      <c r="AR108" s="64">
        <f t="shared" si="94"/>
        <v>97.042018685486667</v>
      </c>
      <c r="AS108" s="61" t="str">
        <f t="shared" si="95"/>
        <v>44.0135687142322+118.651250792988i</v>
      </c>
      <c r="AT108" s="67">
        <f t="shared" si="96"/>
        <v>42.045354456433401</v>
      </c>
      <c r="AU108" s="64">
        <f t="shared" si="97"/>
        <v>69.647712292693711</v>
      </c>
    </row>
    <row r="109" spans="14:47" x14ac:dyDescent="0.25">
      <c r="N109" s="11">
        <v>91</v>
      </c>
      <c r="O109" s="53">
        <f t="shared" si="74"/>
        <v>81.283051616409963</v>
      </c>
      <c r="P109" s="51" t="str">
        <f t="shared" si="65"/>
        <v>122.692307692308</v>
      </c>
      <c r="Q109" s="18" t="str">
        <f t="shared" si="66"/>
        <v>1+0.523484387529921i</v>
      </c>
      <c r="R109" s="18">
        <f t="shared" si="75"/>
        <v>1.1287319894410615</v>
      </c>
      <c r="S109" s="18">
        <f t="shared" si="76"/>
        <v>0.48225812729837975</v>
      </c>
      <c r="T109" s="18" t="str">
        <f t="shared" si="67"/>
        <v>1+0.000104696877505984i</v>
      </c>
      <c r="U109" s="18">
        <f t="shared" si="77"/>
        <v>1.0000000054807181</v>
      </c>
      <c r="V109" s="18">
        <f t="shared" si="78"/>
        <v>1.0469687712344129E-4</v>
      </c>
      <c r="W109" s="32" t="str">
        <f t="shared" si="68"/>
        <v>1-0.00495943685021293i</v>
      </c>
      <c r="X109" s="18">
        <f t="shared" si="79"/>
        <v>1.000012297931316</v>
      </c>
      <c r="Y109" s="18">
        <f t="shared" si="80"/>
        <v>-4.9593961900204547E-3</v>
      </c>
      <c r="Z109" s="32" t="str">
        <f t="shared" si="69"/>
        <v>0.999999784263364+0.000529231912174996i</v>
      </c>
      <c r="AA109" s="18">
        <f t="shared" si="81"/>
        <v>0.99999992430659279</v>
      </c>
      <c r="AB109" s="18">
        <f t="shared" si="82"/>
        <v>5.2923197693948603E-4</v>
      </c>
      <c r="AC109" s="69" t="str">
        <f t="shared" si="83"/>
        <v>96.0304562780786-50.9310165292716i</v>
      </c>
      <c r="AD109" s="67">
        <f t="shared" si="84"/>
        <v>40.724637553066991</v>
      </c>
      <c r="AE109" s="64">
        <f t="shared" si="85"/>
        <v>-27.939831870175983</v>
      </c>
      <c r="AF109" s="32" t="str">
        <f t="shared" si="70"/>
        <v>-0.0000198412698412698</v>
      </c>
      <c r="AG109" s="32" t="str">
        <f t="shared" si="71"/>
        <v>0.0000176707900571076i</v>
      </c>
      <c r="AH109" s="32">
        <f t="shared" si="86"/>
        <v>1.7670790057107601E-5</v>
      </c>
      <c r="AI109" s="32">
        <f t="shared" si="87"/>
        <v>1.5707963267948966</v>
      </c>
      <c r="AJ109" s="32" t="str">
        <f t="shared" si="72"/>
        <v>1+0.00613355726650594i</v>
      </c>
      <c r="AK109" s="32">
        <f t="shared" si="88"/>
        <v>1.000018810085461</v>
      </c>
      <c r="AL109" s="32">
        <f t="shared" si="89"/>
        <v>6.1334803523610971E-3</v>
      </c>
      <c r="AM109" s="32" t="str">
        <f t="shared" si="73"/>
        <v>1+0.132638175888191i</v>
      </c>
      <c r="AN109" s="32">
        <f t="shared" si="90"/>
        <v>1.0087580907744664</v>
      </c>
      <c r="AO109" s="32">
        <f t="shared" si="91"/>
        <v>0.13186845523897375</v>
      </c>
      <c r="AP109" s="61" t="str">
        <f t="shared" si="92"/>
        <v>-0.142037670172176+1.12369987431032i</v>
      </c>
      <c r="AQ109" s="52">
        <f t="shared" si="93"/>
        <v>1.081847167601615</v>
      </c>
      <c r="AR109" s="64">
        <f t="shared" si="94"/>
        <v>97.204083398186327</v>
      </c>
      <c r="AS109" s="61" t="str">
        <f t="shared" si="95"/>
        <v>43.59123459713+115.143534576958i</v>
      </c>
      <c r="AT109" s="67">
        <f t="shared" si="96"/>
        <v>41.806484720668607</v>
      </c>
      <c r="AU109" s="64">
        <f t="shared" si="97"/>
        <v>69.264251528010362</v>
      </c>
    </row>
    <row r="110" spans="14:47" x14ac:dyDescent="0.25">
      <c r="N110" s="11">
        <v>92</v>
      </c>
      <c r="O110" s="53">
        <f t="shared" si="74"/>
        <v>83.176377110267126</v>
      </c>
      <c r="P110" s="51" t="str">
        <f t="shared" si="65"/>
        <v>122.692307692308</v>
      </c>
      <c r="Q110" s="18" t="str">
        <f t="shared" si="66"/>
        <v>1+0.53567790532775i</v>
      </c>
      <c r="R110" s="18">
        <f t="shared" si="75"/>
        <v>1.1344385475892143</v>
      </c>
      <c r="S110" s="18">
        <f t="shared" si="76"/>
        <v>0.49178090774789729</v>
      </c>
      <c r="T110" s="18" t="str">
        <f t="shared" si="67"/>
        <v>1+0.00010713558106555i</v>
      </c>
      <c r="U110" s="18">
        <f t="shared" si="77"/>
        <v>1.0000000057390164</v>
      </c>
      <c r="V110" s="18">
        <f t="shared" si="78"/>
        <v>1.071355806556481E-4</v>
      </c>
      <c r="W110" s="32" t="str">
        <f t="shared" si="68"/>
        <v>1-0.00507495697448183i</v>
      </c>
      <c r="X110" s="18">
        <f t="shared" si="79"/>
        <v>1.0000128775112311</v>
      </c>
      <c r="Y110" s="18">
        <f t="shared" si="80"/>
        <v>-5.0749134063309397E-3</v>
      </c>
      <c r="Z110" s="32" t="str">
        <f t="shared" si="69"/>
        <v>0.999999774096009+0.000541559307020017i</v>
      </c>
      <c r="AA110" s="18">
        <f t="shared" si="81"/>
        <v>0.99999992073927302</v>
      </c>
      <c r="AB110" s="18">
        <f t="shared" si="82"/>
        <v>5.415593764164187E-4</v>
      </c>
      <c r="AC110" s="69" t="str">
        <f t="shared" si="83"/>
        <v>95.0540908041112-51.5943348924612i</v>
      </c>
      <c r="AD110" s="67">
        <f t="shared" si="84"/>
        <v>40.680839788466443</v>
      </c>
      <c r="AE110" s="64">
        <f t="shared" si="85"/>
        <v>-28.492632228661254</v>
      </c>
      <c r="AF110" s="32" t="str">
        <f t="shared" si="70"/>
        <v>-0.0000198412698412698</v>
      </c>
      <c r="AG110" s="32" t="str">
        <f t="shared" si="71"/>
        <v>0.0000180823956335026i</v>
      </c>
      <c r="AH110" s="32">
        <f t="shared" si="86"/>
        <v>1.80823956335026E-5</v>
      </c>
      <c r="AI110" s="32">
        <f t="shared" si="87"/>
        <v>1.5707963267948966</v>
      </c>
      <c r="AJ110" s="32" t="str">
        <f t="shared" si="72"/>
        <v>1+0.00627642616856823i</v>
      </c>
      <c r="AK110" s="32">
        <f t="shared" si="88"/>
        <v>1.0000196965687473</v>
      </c>
      <c r="AL110" s="32">
        <f t="shared" si="89"/>
        <v>6.2763437536648547E-3</v>
      </c>
      <c r="AM110" s="32" t="str">
        <f t="shared" si="73"/>
        <v>1+0.135727715895288i</v>
      </c>
      <c r="AN110" s="32">
        <f t="shared" si="90"/>
        <v>1.0091689714126926</v>
      </c>
      <c r="AO110" s="32">
        <f t="shared" si="91"/>
        <v>0.13490334953980002</v>
      </c>
      <c r="AP110" s="61" t="str">
        <f t="shared" si="92"/>
        <v>-0.142037418349206+1.09816146439109i</v>
      </c>
      <c r="AQ110" s="52">
        <f t="shared" si="93"/>
        <v>0.8853766263510523</v>
      </c>
      <c r="AR110" s="64">
        <f t="shared" si="94"/>
        <v>97.369784562950372</v>
      </c>
      <c r="AS110" s="61" t="str">
        <f t="shared" si="95"/>
        <v>43.1576726984425+111.713065683376i</v>
      </c>
      <c r="AT110" s="67">
        <f t="shared" si="96"/>
        <v>41.566216414817497</v>
      </c>
      <c r="AU110" s="64">
        <f t="shared" si="97"/>
        <v>68.87715233428915</v>
      </c>
    </row>
    <row r="111" spans="14:47" x14ac:dyDescent="0.25">
      <c r="N111" s="11">
        <v>93</v>
      </c>
      <c r="O111" s="53">
        <f t="shared" si="74"/>
        <v>85.113803820237734</v>
      </c>
      <c r="P111" s="51" t="str">
        <f t="shared" si="65"/>
        <v>122.692307692308</v>
      </c>
      <c r="Q111" s="18" t="str">
        <f t="shared" si="66"/>
        <v>1+0.548155446641521i</v>
      </c>
      <c r="R111" s="18">
        <f t="shared" si="75"/>
        <v>1.140383441515513</v>
      </c>
      <c r="S111" s="18">
        <f t="shared" si="76"/>
        <v>0.50142594417412267</v>
      </c>
      <c r="T111" s="18" t="str">
        <f t="shared" si="67"/>
        <v>1+0.000109631089328304i</v>
      </c>
      <c r="U111" s="18">
        <f t="shared" si="77"/>
        <v>1.0000000060094878</v>
      </c>
      <c r="V111" s="18">
        <f t="shared" si="78"/>
        <v>1.096310888890862E-4</v>
      </c>
      <c r="W111" s="32" t="str">
        <f t="shared" si="68"/>
        <v>1-0.0051931679081136i</v>
      </c>
      <c r="X111" s="18">
        <f t="shared" si="79"/>
        <v>1.0000134844055464</v>
      </c>
      <c r="Y111" s="18">
        <f t="shared" si="80"/>
        <v>-5.1931212240328263E-3</v>
      </c>
      <c r="Z111" s="32" t="str">
        <f t="shared" si="69"/>
        <v>0.999999763449482+0.000554173843778005i</v>
      </c>
      <c r="AA111" s="18">
        <f t="shared" si="81"/>
        <v>0.99999991700383117</v>
      </c>
      <c r="AB111" s="18">
        <f t="shared" si="82"/>
        <v>5.541739181375891E-4</v>
      </c>
      <c r="AC111" s="69" t="str">
        <f t="shared" si="83"/>
        <v>94.0524955100131-52.2470914213212i</v>
      </c>
      <c r="AD111" s="67">
        <f t="shared" si="84"/>
        <v>40.635446544433329</v>
      </c>
      <c r="AE111" s="64">
        <f t="shared" si="85"/>
        <v>-29.052604696105274</v>
      </c>
      <c r="AF111" s="32" t="str">
        <f t="shared" si="70"/>
        <v>-0.0000198412698412698</v>
      </c>
      <c r="AG111" s="32" t="str">
        <f t="shared" si="71"/>
        <v>0.0000185035887354113i</v>
      </c>
      <c r="AH111" s="32">
        <f t="shared" si="86"/>
        <v>1.8503588735411299E-5</v>
      </c>
      <c r="AI111" s="32">
        <f t="shared" si="87"/>
        <v>1.5707963267948966</v>
      </c>
      <c r="AJ111" s="32" t="str">
        <f t="shared" si="72"/>
        <v>1+0.00642262291486342i</v>
      </c>
      <c r="AK111" s="32">
        <f t="shared" si="88"/>
        <v>1.0000206248298615</v>
      </c>
      <c r="AL111" s="32">
        <f t="shared" si="89"/>
        <v>6.4225346058017817E-3</v>
      </c>
      <c r="AM111" s="32" t="str">
        <f t="shared" si="73"/>
        <v>1+0.138889220533921i</v>
      </c>
      <c r="AN111" s="32">
        <f t="shared" si="90"/>
        <v>1.0095990370342673</v>
      </c>
      <c r="AO111" s="32">
        <f t="shared" si="91"/>
        <v>0.13800634902613579</v>
      </c>
      <c r="AP111" s="61" t="str">
        <f t="shared" si="92"/>
        <v>-0.142037154659143+1.07320531406716i</v>
      </c>
      <c r="AQ111" s="52">
        <f t="shared" si="93"/>
        <v>0.68906933823913996</v>
      </c>
      <c r="AR111" s="64">
        <f t="shared" si="94"/>
        <v>97.539197218517813</v>
      </c>
      <c r="AS111" s="61" t="str">
        <f t="shared" si="95"/>
        <v>42.7129073070806+108.358666187324i</v>
      </c>
      <c r="AT111" s="67">
        <f t="shared" si="96"/>
        <v>41.324515882672443</v>
      </c>
      <c r="AU111" s="64">
        <f t="shared" si="97"/>
        <v>68.486592522412465</v>
      </c>
    </row>
    <row r="112" spans="14:47" x14ac:dyDescent="0.25">
      <c r="N112" s="11">
        <v>94</v>
      </c>
      <c r="O112" s="53">
        <f t="shared" si="74"/>
        <v>87.096358995608071</v>
      </c>
      <c r="P112" s="51" t="str">
        <f t="shared" si="65"/>
        <v>122.692307692308</v>
      </c>
      <c r="Q112" s="18" t="str">
        <f t="shared" si="66"/>
        <v>1+0.560923627228794i</v>
      </c>
      <c r="R112" s="18">
        <f t="shared" si="75"/>
        <v>1.1465754731300974</v>
      </c>
      <c r="S112" s="18">
        <f t="shared" si="76"/>
        <v>0.5111911717499118</v>
      </c>
      <c r="T112" s="18" t="str">
        <f t="shared" si="67"/>
        <v>1+0.000112184725445759i</v>
      </c>
      <c r="U112" s="18">
        <f t="shared" si="77"/>
        <v>1.0000000062927064</v>
      </c>
      <c r="V112" s="18">
        <f t="shared" si="78"/>
        <v>1.1218472497512866E-4</v>
      </c>
      <c r="W112" s="32" t="str">
        <f t="shared" si="68"/>
        <v>1-0.00531413232810994i</v>
      </c>
      <c r="X112" s="18">
        <f t="shared" si="79"/>
        <v>1.0000141199015147</v>
      </c>
      <c r="Y112" s="18">
        <f t="shared" si="80"/>
        <v>-5.3140823052542901E-3</v>
      </c>
      <c r="Z112" s="32" t="str">
        <f t="shared" si="69"/>
        <v>0.9999997523012+0.000567082210843321i</v>
      </c>
      <c r="AA112" s="18">
        <f t="shared" si="81"/>
        <v>0.99999991309234382</v>
      </c>
      <c r="AB112" s="18">
        <f t="shared" si="82"/>
        <v>5.670822905210508E-4</v>
      </c>
      <c r="AC112" s="69" t="str">
        <f t="shared" si="83"/>
        <v>93.0257828173235-52.8881751110734i</v>
      </c>
      <c r="AD112" s="67">
        <f t="shared" si="84"/>
        <v>40.588417206991068</v>
      </c>
      <c r="AE112" s="64">
        <f t="shared" si="85"/>
        <v>-29.619634864309951</v>
      </c>
      <c r="AF112" s="32" t="str">
        <f t="shared" si="70"/>
        <v>-0.0000198412698412698</v>
      </c>
      <c r="AG112" s="32" t="str">
        <f t="shared" si="71"/>
        <v>0.0000189345926849915i</v>
      </c>
      <c r="AH112" s="32">
        <f t="shared" si="86"/>
        <v>1.89345926849915E-5</v>
      </c>
      <c r="AI112" s="32">
        <f t="shared" si="87"/>
        <v>1.5707963267948966</v>
      </c>
      <c r="AJ112" s="32" t="str">
        <f t="shared" si="72"/>
        <v>1+0.00657222502084151i</v>
      </c>
      <c r="AK112" s="32">
        <f t="shared" si="88"/>
        <v>1.0000215968376505</v>
      </c>
      <c r="AL112" s="32">
        <f t="shared" si="89"/>
        <v>6.5721303960875072E-3</v>
      </c>
      <c r="AM112" s="32" t="str">
        <f t="shared" si="73"/>
        <v>1+0.142124366075698i</v>
      </c>
      <c r="AN112" s="32">
        <f t="shared" si="90"/>
        <v>1.0100491747595357</v>
      </c>
      <c r="AO112" s="32">
        <f t="shared" si="91"/>
        <v>0.1411788598031114</v>
      </c>
      <c r="AP112" s="61" t="str">
        <f t="shared" si="92"/>
        <v>-0.142036878542799+1.04881819124663i</v>
      </c>
      <c r="AQ112" s="52">
        <f t="shared" si="93"/>
        <v>0.49293270526581334</v>
      </c>
      <c r="AR112" s="64">
        <f t="shared" si="94"/>
        <v>97.712397489081965</v>
      </c>
      <c r="AS112" s="61" t="str">
        <f t="shared" si="95"/>
        <v>42.2569883429581+105.079204578369i</v>
      </c>
      <c r="AT112" s="67">
        <f t="shared" si="96"/>
        <v>41.08134991225689</v>
      </c>
      <c r="AU112" s="64">
        <f t="shared" si="97"/>
        <v>68.092762624772021</v>
      </c>
    </row>
    <row r="113" spans="14:47" x14ac:dyDescent="0.25">
      <c r="N113" s="11">
        <v>95</v>
      </c>
      <c r="O113" s="53">
        <f t="shared" si="74"/>
        <v>89.125093813374562</v>
      </c>
      <c r="P113" s="51" t="str">
        <f t="shared" si="65"/>
        <v>122.692307692308</v>
      </c>
      <c r="Q113" s="18" t="str">
        <f t="shared" si="66"/>
        <v>1+0.573989216947927i</v>
      </c>
      <c r="R113" s="18">
        <f t="shared" si="75"/>
        <v>1.1530236863015844</v>
      </c>
      <c r="S113" s="18">
        <f t="shared" si="76"/>
        <v>0.52107431773069801</v>
      </c>
      <c r="T113" s="18" t="str">
        <f t="shared" si="67"/>
        <v>1+0.000114797843389585i</v>
      </c>
      <c r="U113" s="18">
        <f t="shared" si="77"/>
        <v>1.0000000065892725</v>
      </c>
      <c r="V113" s="18">
        <f t="shared" si="78"/>
        <v>1.1479784288529549E-4</v>
      </c>
      <c r="W113" s="32" t="str">
        <f t="shared" si="68"/>
        <v>1-0.00543791437140751i</v>
      </c>
      <c r="X113" s="18">
        <f t="shared" si="79"/>
        <v>1.000014785347052</v>
      </c>
      <c r="Y113" s="18">
        <f t="shared" si="80"/>
        <v>-5.4378607709947794E-3</v>
      </c>
      <c r="Z113" s="32" t="str">
        <f t="shared" si="69"/>
        <v>0.999999740627515+0.000580291252403047i</v>
      </c>
      <c r="AA113" s="18">
        <f t="shared" si="81"/>
        <v>0.99999990899651336</v>
      </c>
      <c r="AB113" s="18">
        <f t="shared" si="82"/>
        <v>5.8029133777927279E-4</v>
      </c>
      <c r="AC113" s="69" t="str">
        <f t="shared" si="83"/>
        <v>91.9741254263359-53.5164589636377i</v>
      </c>
      <c r="AD113" s="67">
        <f t="shared" si="84"/>
        <v>40.53971139238179</v>
      </c>
      <c r="AE113" s="64">
        <f t="shared" si="85"/>
        <v>-30.193596503033824</v>
      </c>
      <c r="AF113" s="32" t="str">
        <f t="shared" si="70"/>
        <v>-0.0000198412698412698</v>
      </c>
      <c r="AG113" s="32" t="str">
        <f t="shared" si="71"/>
        <v>0.0000193756360062422i</v>
      </c>
      <c r="AH113" s="32">
        <f t="shared" si="86"/>
        <v>1.9375636006242199E-5</v>
      </c>
      <c r="AI113" s="32">
        <f t="shared" si="87"/>
        <v>1.5707963267948966</v>
      </c>
      <c r="AJ113" s="32" t="str">
        <f t="shared" si="72"/>
        <v>1+0.00672531180751935i</v>
      </c>
      <c r="AK113" s="32">
        <f t="shared" si="88"/>
        <v>1.000022614653743</v>
      </c>
      <c r="AL113" s="32">
        <f t="shared" si="89"/>
        <v>6.7252104153925196E-3</v>
      </c>
      <c r="AM113" s="32" t="str">
        <f t="shared" si="73"/>
        <v>1+0.145434867837606i</v>
      </c>
      <c r="AN113" s="32">
        <f t="shared" si="90"/>
        <v>1.0105203119101278</v>
      </c>
      <c r="AO113" s="32">
        <f t="shared" si="91"/>
        <v>0.14442230839792761</v>
      </c>
      <c r="AP113" s="61" t="str">
        <f t="shared" si="92"/>
        <v>-0.142036589414643+1.02498716554276i</v>
      </c>
      <c r="AQ113" s="52">
        <f t="shared" si="93"/>
        <v>0.29697445095286817</v>
      </c>
      <c r="AR113" s="64">
        <f t="shared" si="94"/>
        <v>97.88946256559862</v>
      </c>
      <c r="AS113" s="61" t="str">
        <f t="shared" si="95"/>
        <v>41.7899924930731+101.873593432758i</v>
      </c>
      <c r="AT113" s="67">
        <f t="shared" si="96"/>
        <v>40.836685843334649</v>
      </c>
      <c r="AU113" s="64">
        <f t="shared" si="97"/>
        <v>67.695866062564789</v>
      </c>
    </row>
    <row r="114" spans="14:47" x14ac:dyDescent="0.25">
      <c r="N114" s="11">
        <v>96</v>
      </c>
      <c r="O114" s="53">
        <f t="shared" si="74"/>
        <v>91.201083935590972</v>
      </c>
      <c r="P114" s="51" t="str">
        <f t="shared" si="65"/>
        <v>122.692307692308</v>
      </c>
      <c r="Q114" s="18" t="str">
        <f t="shared" si="66"/>
        <v>1+0.587359143347531i</v>
      </c>
      <c r="R114" s="18">
        <f t="shared" si="75"/>
        <v>1.1597373682321122</v>
      </c>
      <c r="S114" s="18">
        <f t="shared" si="76"/>
        <v>0.5310728988128669</v>
      </c>
      <c r="T114" s="18" t="str">
        <f t="shared" si="67"/>
        <v>1+0.000117471828669506i</v>
      </c>
      <c r="U114" s="18">
        <f t="shared" si="77"/>
        <v>1.0000000068998152</v>
      </c>
      <c r="V114" s="18">
        <f t="shared" si="78"/>
        <v>1.1747182812915005E-4</v>
      </c>
      <c r="W114" s="32" t="str">
        <f t="shared" si="68"/>
        <v>1-0.0055645796688841i</v>
      </c>
      <c r="X114" s="18">
        <f t="shared" si="79"/>
        <v>1.0000154821535971</v>
      </c>
      <c r="Y114" s="18">
        <f t="shared" si="80"/>
        <v>-5.5645222350551148E-3</v>
      </c>
      <c r="Z114" s="32" t="str">
        <f t="shared" si="69"/>
        <v>0.999999728403667+0.000593807972065861i</v>
      </c>
      <c r="AA114" s="18">
        <f t="shared" si="81"/>
        <v>0.99999990470765321</v>
      </c>
      <c r="AB114" s="18">
        <f t="shared" si="82"/>
        <v>5.9380806354813488E-4</v>
      </c>
      <c r="AC114" s="69" t="str">
        <f t="shared" si="83"/>
        <v>90.8977586819033-54.1308035805649i</v>
      </c>
      <c r="AD114" s="67">
        <f t="shared" si="84"/>
        <v>40.489289046286956</v>
      </c>
      <c r="AE114" s="64">
        <f t="shared" si="85"/>
        <v>-30.774351410749489</v>
      </c>
      <c r="AF114" s="32" t="str">
        <f t="shared" si="70"/>
        <v>-0.0000198412698412698</v>
      </c>
      <c r="AG114" s="32" t="str">
        <f t="shared" si="71"/>
        <v>0.0000198269525461703i</v>
      </c>
      <c r="AH114" s="32">
        <f t="shared" si="86"/>
        <v>1.9826952546170301E-5</v>
      </c>
      <c r="AI114" s="32">
        <f t="shared" si="87"/>
        <v>1.5707963267948966</v>
      </c>
      <c r="AJ114" s="32" t="str">
        <f t="shared" si="72"/>
        <v>1+0.00688196444353756i</v>
      </c>
      <c r="AK114" s="32">
        <f t="shared" si="88"/>
        <v>1.0000236804369196</v>
      </c>
      <c r="AL114" s="32">
        <f t="shared" si="89"/>
        <v>6.8818558000552079E-3</v>
      </c>
      <c r="AM114" s="32" t="str">
        <f t="shared" si="73"/>
        <v>1+0.1488224810915i</v>
      </c>
      <c r="AN114" s="32">
        <f t="shared" si="90"/>
        <v>1.011013417753805</v>
      </c>
      <c r="AO114" s="32">
        <f t="shared" si="91"/>
        <v>0.14773814141994851</v>
      </c>
      <c r="AP114" s="61" t="str">
        <f t="shared" si="92"/>
        <v>-0.142036286661559+1.00169960141806i</v>
      </c>
      <c r="AQ114" s="52">
        <f t="shared" si="93"/>
        <v>0.10120263298127571</v>
      </c>
      <c r="AR114" s="64">
        <f t="shared" si="94"/>
        <v>98.070470683909093</v>
      </c>
      <c r="AS114" s="61" t="str">
        <f t="shared" si="95"/>
        <v>41.3120242620551+98.7407869760472i</v>
      </c>
      <c r="AT114" s="67">
        <f t="shared" si="96"/>
        <v>40.590491679268233</v>
      </c>
      <c r="AU114" s="64">
        <f t="shared" si="97"/>
        <v>67.296119273159633</v>
      </c>
    </row>
    <row r="115" spans="14:47" x14ac:dyDescent="0.25">
      <c r="N115" s="11">
        <v>97</v>
      </c>
      <c r="O115" s="53">
        <f t="shared" si="74"/>
        <v>93.325430079699174</v>
      </c>
      <c r="P115" s="51" t="str">
        <f t="shared" si="65"/>
        <v>122.692307692308</v>
      </c>
      <c r="Q115" s="18" t="str">
        <f t="shared" si="66"/>
        <v>1+0.601040495339557i</v>
      </c>
      <c r="R115" s="18">
        <f t="shared" si="75"/>
        <v>1.1667260505525794</v>
      </c>
      <c r="S115" s="18">
        <f t="shared" si="76"/>
        <v>0.54118421918591575</v>
      </c>
      <c r="T115" s="18" t="str">
        <f t="shared" si="67"/>
        <v>1+0.000120208099067911i</v>
      </c>
      <c r="U115" s="18">
        <f t="shared" si="77"/>
        <v>1.0000000072249935</v>
      </c>
      <c r="V115" s="18">
        <f t="shared" si="78"/>
        <v>1.2020809848890918E-4</v>
      </c>
      <c r="W115" s="32" t="str">
        <f t="shared" si="68"/>
        <v>1-0.00569419538015707i</v>
      </c>
      <c r="X115" s="18">
        <f t="shared" si="79"/>
        <v>1.0000162117991025</v>
      </c>
      <c r="Y115" s="18">
        <f t="shared" si="80"/>
        <v>-5.6941338387544215E-3</v>
      </c>
      <c r="Z115" s="32" t="str">
        <f t="shared" si="69"/>
        <v>0.999999715603726+0.000607639536575442i</v>
      </c>
      <c r="AA115" s="18">
        <f t="shared" si="81"/>
        <v>0.99999990021666463</v>
      </c>
      <c r="AB115" s="18">
        <f t="shared" si="82"/>
        <v>6.0763963460046483E-4</v>
      </c>
      <c r="AC115" s="69" t="str">
        <f t="shared" si="83"/>
        <v>89.7969827138445-54.7300610377736i</v>
      </c>
      <c r="AD115" s="67">
        <f t="shared" si="84"/>
        <v>40.43711054668907</v>
      </c>
      <c r="AE115" s="64">
        <f t="shared" si="85"/>
        <v>-31.361749305199861</v>
      </c>
      <c r="AF115" s="32" t="str">
        <f t="shared" si="70"/>
        <v>-0.0000198412698412698</v>
      </c>
      <c r="AG115" s="32" t="str">
        <f t="shared" si="71"/>
        <v>0.0000202887815987792i</v>
      </c>
      <c r="AH115" s="32">
        <f t="shared" si="86"/>
        <v>2.0288781598779201E-5</v>
      </c>
      <c r="AI115" s="32">
        <f t="shared" si="87"/>
        <v>1.5707963267948966</v>
      </c>
      <c r="AJ115" s="32" t="str">
        <f t="shared" si="72"/>
        <v>1+0.00704226598819732i</v>
      </c>
      <c r="AK115" s="32">
        <f t="shared" si="88"/>
        <v>1.0000247964476923</v>
      </c>
      <c r="AL115" s="32">
        <f t="shared" si="89"/>
        <v>7.0421495747644914E-3</v>
      </c>
      <c r="AM115" s="32" t="str">
        <f t="shared" si="73"/>
        <v>1+0.152289001994767i</v>
      </c>
      <c r="AN115" s="32">
        <f t="shared" si="90"/>
        <v>1.0115295053178439</v>
      </c>
      <c r="AO115" s="32">
        <f t="shared" si="91"/>
        <v>0.15112782516221887</v>
      </c>
      <c r="AP115" s="61" t="str">
        <f t="shared" si="92"/>
        <v>-0.142035969641545+0.978943151484645i</v>
      </c>
      <c r="AQ115" s="52">
        <f t="shared" si="93"/>
        <v>-9.4374343801997662E-2</v>
      </c>
      <c r="AR115" s="64">
        <f t="shared" si="94"/>
        <v>98.255501099452317</v>
      </c>
      <c r="AS115" s="61" t="str">
        <f t="shared" si="95"/>
        <v>40.8232169226191+95.6797785397442i</v>
      </c>
      <c r="AT115" s="67">
        <f t="shared" si="96"/>
        <v>40.342736202887068</v>
      </c>
      <c r="AU115" s="64">
        <f t="shared" si="97"/>
        <v>66.893751794252466</v>
      </c>
    </row>
    <row r="116" spans="14:47" x14ac:dyDescent="0.25">
      <c r="N116" s="11">
        <v>98</v>
      </c>
      <c r="O116" s="53">
        <f t="shared" si="74"/>
        <v>95.499258602143655</v>
      </c>
      <c r="P116" s="51" t="str">
        <f t="shared" si="65"/>
        <v>122.692307692308</v>
      </c>
      <c r="Q116" s="18" t="str">
        <f t="shared" si="66"/>
        <v>1+0.615040526957921i</v>
      </c>
      <c r="R116" s="18">
        <f t="shared" si="75"/>
        <v>1.1739995101364724</v>
      </c>
      <c r="S116" s="18">
        <f t="shared" si="76"/>
        <v>0.55140536932957285</v>
      </c>
      <c r="T116" s="18" t="str">
        <f t="shared" si="67"/>
        <v>1+0.000123008105391584i</v>
      </c>
      <c r="U116" s="18">
        <f t="shared" si="77"/>
        <v>1.0000000075654969</v>
      </c>
      <c r="V116" s="18">
        <f t="shared" si="78"/>
        <v>1.2300810477117237E-4</v>
      </c>
      <c r="W116" s="32" t="str">
        <f t="shared" si="68"/>
        <v>1-0.00582683022919218i</v>
      </c>
      <c r="X116" s="18">
        <f t="shared" si="79"/>
        <v>1.0000169758311706</v>
      </c>
      <c r="Y116" s="18">
        <f t="shared" si="80"/>
        <v>-5.8267642864516288E-3</v>
      </c>
      <c r="Z116" s="32" t="str">
        <f t="shared" si="69"/>
        <v>0.999999702200542+0.000621793279610375i</v>
      </c>
      <c r="AA116" s="18">
        <f t="shared" si="81"/>
        <v>0.99999989551402202</v>
      </c>
      <c r="AB116" s="18">
        <f t="shared" si="82"/>
        <v>6.2179338464607979E-4</v>
      </c>
      <c r="AC116" s="69" t="str">
        <f t="shared" si="83"/>
        <v>88.672164319051-55.3130790291666i</v>
      </c>
      <c r="AD116" s="67">
        <f t="shared" si="84"/>
        <v>40.383136809983881</v>
      </c>
      <c r="AE116" s="64">
        <f t="shared" si="85"/>
        <v>-31.955627756688251</v>
      </c>
      <c r="AF116" s="32" t="str">
        <f t="shared" si="70"/>
        <v>-0.0000198412698412698</v>
      </c>
      <c r="AG116" s="32" t="str">
        <f t="shared" si="71"/>
        <v>0.0000207613680319454i</v>
      </c>
      <c r="AH116" s="32">
        <f t="shared" si="86"/>
        <v>2.07613680319454E-5</v>
      </c>
      <c r="AI116" s="32">
        <f t="shared" si="87"/>
        <v>1.5707963267948966</v>
      </c>
      <c r="AJ116" s="32" t="str">
        <f t="shared" si="72"/>
        <v>1+0.00720630143549942i</v>
      </c>
      <c r="AK116" s="32">
        <f t="shared" si="88"/>
        <v>1.0000259650530976</v>
      </c>
      <c r="AL116" s="32">
        <f t="shared" si="89"/>
        <v>7.206176696433678E-3</v>
      </c>
      <c r="AM116" s="32" t="str">
        <f t="shared" si="73"/>
        <v>1+0.155836268542675i</v>
      </c>
      <c r="AN116" s="32">
        <f t="shared" si="90"/>
        <v>1.0120696332729802</v>
      </c>
      <c r="AO116" s="32">
        <f t="shared" si="91"/>
        <v>0.15459284514030708</v>
      </c>
      <c r="AP116" s="61" t="str">
        <f t="shared" si="92"/>
        <v>-0.142035637682355+0.956705749957528i</v>
      </c>
      <c r="AQ116" s="52">
        <f t="shared" si="93"/>
        <v>-0.28974771400766902</v>
      </c>
      <c r="AR116" s="64">
        <f t="shared" si="94"/>
        <v>98.444634058327949</v>
      </c>
      <c r="AS116" s="61" t="str">
        <f t="shared" si="95"/>
        <v>40.3237333513279+92.689597917297i</v>
      </c>
      <c r="AT116" s="67">
        <f t="shared" si="96"/>
        <v>40.093389095976207</v>
      </c>
      <c r="AU116" s="64">
        <f t="shared" si="97"/>
        <v>66.489006301639691</v>
      </c>
    </row>
    <row r="117" spans="14:47" x14ac:dyDescent="0.25">
      <c r="N117" s="11">
        <v>99</v>
      </c>
      <c r="O117" s="53">
        <f t="shared" si="74"/>
        <v>97.723722095581124</v>
      </c>
      <c r="P117" s="51" t="str">
        <f t="shared" si="65"/>
        <v>122.692307692308</v>
      </c>
      <c r="Q117" s="18" t="str">
        <f t="shared" si="66"/>
        <v>1+0.629366661204702i</v>
      </c>
      <c r="R117" s="18">
        <f t="shared" si="75"/>
        <v>1.1815677696331912</v>
      </c>
      <c r="S117" s="18">
        <f t="shared" si="76"/>
        <v>0.56173322560434791</v>
      </c>
      <c r="T117" s="18" t="str">
        <f t="shared" si="67"/>
        <v>1+0.000125873332240941i</v>
      </c>
      <c r="U117" s="18">
        <f t="shared" si="77"/>
        <v>1.0000000079220479</v>
      </c>
      <c r="V117" s="18">
        <f t="shared" si="78"/>
        <v>1.2587333157615798E-4</v>
      </c>
      <c r="W117" s="32" t="str">
        <f t="shared" si="68"/>
        <v>1-0.00596255454074201i</v>
      </c>
      <c r="X117" s="18">
        <f t="shared" si="79"/>
        <v>1.0000177758703348</v>
      </c>
      <c r="Y117" s="18">
        <f t="shared" si="80"/>
        <v>-5.9624838818903049E-3</v>
      </c>
      <c r="Z117" s="32" t="str">
        <f t="shared" si="69"/>
        <v>0.999999688165686+0.000636276705672563i</v>
      </c>
      <c r="AA117" s="18">
        <f t="shared" si="81"/>
        <v>0.99999989058975158</v>
      </c>
      <c r="AB117" s="18">
        <f t="shared" si="82"/>
        <v>6.3627681822034843E-4</v>
      </c>
      <c r="AC117" s="69" t="str">
        <f t="shared" si="83"/>
        <v>87.523738552756-55.878705262251i</v>
      </c>
      <c r="AD117" s="67">
        <f t="shared" si="84"/>
        <v>40.327329399900933</v>
      </c>
      <c r="AE117" s="64">
        <f t="shared" si="85"/>
        <v>-32.555812166879782</v>
      </c>
      <c r="AF117" s="32" t="str">
        <f t="shared" si="70"/>
        <v>-0.0000198412698412698</v>
      </c>
      <c r="AG117" s="32" t="str">
        <f t="shared" si="71"/>
        <v>0.0000212449624172514i</v>
      </c>
      <c r="AH117" s="32">
        <f t="shared" si="86"/>
        <v>2.1244962417251401E-5</v>
      </c>
      <c r="AI117" s="32">
        <f t="shared" si="87"/>
        <v>1.5707963267948966</v>
      </c>
      <c r="AJ117" s="32" t="str">
        <f t="shared" si="72"/>
        <v>1+0.00737415775920928i</v>
      </c>
      <c r="AK117" s="32">
        <f t="shared" si="88"/>
        <v>1.0000271887317151</v>
      </c>
      <c r="AL117" s="32">
        <f t="shared" si="89"/>
        <v>7.3740240990884838E-3</v>
      </c>
      <c r="AM117" s="32" t="str">
        <f t="shared" si="73"/>
        <v>1+0.159466161542901i</v>
      </c>
      <c r="AN117" s="32">
        <f t="shared" si="90"/>
        <v>1.0126349078899199</v>
      </c>
      <c r="AO117" s="32">
        <f t="shared" si="91"/>
        <v>0.15813470556414871</v>
      </c>
      <c r="AP117" s="61" t="str">
        <f t="shared" si="92"/>
        <v>-0.142035290080073+0.934975606257002i</v>
      </c>
      <c r="AQ117" s="52">
        <f t="shared" si="93"/>
        <v>-0.48490833796499444</v>
      </c>
      <c r="AR117" s="64">
        <f t="shared" si="94"/>
        <v>98.637950764464151</v>
      </c>
      <c r="AS117" s="61" t="str">
        <f t="shared" si="95"/>
        <v>39.8137667351963+89.7693086264651i</v>
      </c>
      <c r="AT117" s="67">
        <f t="shared" si="96"/>
        <v>39.842421061935937</v>
      </c>
      <c r="AU117" s="64">
        <f t="shared" si="97"/>
        <v>66.082138597584361</v>
      </c>
    </row>
    <row r="118" spans="14:47" x14ac:dyDescent="0.25">
      <c r="N118" s="11">
        <v>100</v>
      </c>
      <c r="O118" s="53">
        <f t="shared" si="74"/>
        <v>100</v>
      </c>
      <c r="P118" s="51" t="str">
        <f t="shared" si="65"/>
        <v>122.692307692308</v>
      </c>
      <c r="Q118" s="18" t="str">
        <f t="shared" si="66"/>
        <v>1+0.644026493985908i</v>
      </c>
      <c r="R118" s="18">
        <f t="shared" si="75"/>
        <v>1.1894410977243812</v>
      </c>
      <c r="S118" s="18">
        <f t="shared" si="76"/>
        <v>0.57216445068041444</v>
      </c>
      <c r="T118" s="18" t="str">
        <f t="shared" si="67"/>
        <v>1+0.000128805298797182i</v>
      </c>
      <c r="U118" s="18">
        <f t="shared" si="77"/>
        <v>1.0000000082954024</v>
      </c>
      <c r="V118" s="18">
        <f t="shared" si="78"/>
        <v>1.2880529808485415E-4</v>
      </c>
      <c r="W118" s="32" t="str">
        <f t="shared" si="68"/>
        <v>1-0.00610144027763309i</v>
      </c>
      <c r="X118" s="18">
        <f t="shared" si="79"/>
        <v>1.0000186136134974</v>
      </c>
      <c r="Y118" s="18">
        <f t="shared" si="80"/>
        <v>-6.1013645653855133E-3</v>
      </c>
      <c r="Z118" s="32" t="str">
        <f t="shared" si="69"/>
        <v>0.999999673469388+0.000651097494066218i</v>
      </c>
      <c r="AA118" s="18">
        <f t="shared" si="81"/>
        <v>0.99999988543340823</v>
      </c>
      <c r="AB118" s="18">
        <f t="shared" si="82"/>
        <v>6.5109761466334258E-4</v>
      </c>
      <c r="AC118" s="69" t="str">
        <f t="shared" si="83"/>
        <v>86.3522099972494-56.4257920848132i</v>
      </c>
      <c r="AD118" s="67">
        <f t="shared" si="84"/>
        <v>40.269650638736024</v>
      </c>
      <c r="AE118" s="64">
        <f t="shared" si="85"/>
        <v>-33.162115795688237</v>
      </c>
      <c r="AF118" s="32" t="str">
        <f t="shared" si="70"/>
        <v>-0.0000198412698412698</v>
      </c>
      <c r="AG118" s="32" t="str">
        <f t="shared" si="71"/>
        <v>0.0000217398211628414i</v>
      </c>
      <c r="AH118" s="32">
        <f t="shared" si="86"/>
        <v>2.1739821162841399E-5</v>
      </c>
      <c r="AI118" s="32">
        <f t="shared" si="87"/>
        <v>1.5707963267948966</v>
      </c>
      <c r="AJ118" s="32" t="str">
        <f t="shared" si="72"/>
        <v>1+0.00754592395897161i</v>
      </c>
      <c r="AK118" s="32">
        <f t="shared" si="88"/>
        <v>1.0000284700789246</v>
      </c>
      <c r="AL118" s="32">
        <f t="shared" si="89"/>
        <v>7.5457807397920499E-3</v>
      </c>
      <c r="AM118" s="32" t="str">
        <f t="shared" si="73"/>
        <v>1+0.163180605612761i</v>
      </c>
      <c r="AN118" s="32">
        <f t="shared" si="90"/>
        <v>1.0132264850704147</v>
      </c>
      <c r="AO118" s="32">
        <f t="shared" si="91"/>
        <v>0.1617549287383836</v>
      </c>
      <c r="AP118" s="61" t="str">
        <f t="shared" si="92"/>
        <v>-0.142034926097623+0.913741198757119i</v>
      </c>
      <c r="AQ118" s="52">
        <f t="shared" si="93"/>
        <v>-0.67984668762179801</v>
      </c>
      <c r="AR118" s="64">
        <f t="shared" si="94"/>
        <v>98.835533342627599</v>
      </c>
      <c r="AS118" s="61" t="str">
        <f t="shared" si="95"/>
        <v>39.2935411350714+86.9180050869794i</v>
      </c>
      <c r="AT118" s="67">
        <f t="shared" si="96"/>
        <v>39.58980395111422</v>
      </c>
      <c r="AU118" s="64">
        <f t="shared" si="97"/>
        <v>65.67341754693939</v>
      </c>
    </row>
    <row r="119" spans="14:47" x14ac:dyDescent="0.25">
      <c r="N119" s="11">
        <v>1</v>
      </c>
      <c r="O119" s="53">
        <f>10^(2+(N119/100))</f>
        <v>102.32929922807544</v>
      </c>
      <c r="P119" s="51" t="str">
        <f t="shared" si="65"/>
        <v>122.692307692308</v>
      </c>
      <c r="Q119" s="18" t="str">
        <f t="shared" si="66"/>
        <v>1+0.659027798138923i</v>
      </c>
      <c r="R119" s="18">
        <f t="shared" si="75"/>
        <v>1.1976300091095902</v>
      </c>
      <c r="S119" s="18">
        <f t="shared" si="76"/>
        <v>0.58269549484549987</v>
      </c>
      <c r="T119" s="18" t="str">
        <f t="shared" si="67"/>
        <v>1+0.000131805559627785i</v>
      </c>
      <c r="U119" s="18">
        <f t="shared" si="77"/>
        <v>1.0000000086863527</v>
      </c>
      <c r="V119" s="18">
        <f t="shared" si="78"/>
        <v>1.3180555886451196E-4</v>
      </c>
      <c r="W119" s="32" t="str">
        <f t="shared" si="68"/>
        <v>1-0.00624356107892148i</v>
      </c>
      <c r="X119" s="18">
        <f t="shared" si="79"/>
        <v>1.0000194908375268</v>
      </c>
      <c r="Y119" s="18">
        <f t="shared" si="80"/>
        <v>-6.2434799518719586E-3</v>
      </c>
      <c r="Z119" s="32" t="str">
        <f t="shared" si="69"/>
        <v>0.999999658080474+0.000666263502969521i</v>
      </c>
      <c r="AA119" s="18">
        <f t="shared" si="81"/>
        <v>0.99999988003405282</v>
      </c>
      <c r="AB119" s="18">
        <f t="shared" si="82"/>
        <v>6.6626363219166864E-4</v>
      </c>
      <c r="AC119" s="69" t="str">
        <f t="shared" si="83"/>
        <v>85.1581536777308-56.9532013176424i</v>
      </c>
      <c r="AD119" s="67">
        <f t="shared" si="84"/>
        <v>40.210063720352537</v>
      </c>
      <c r="AE119" s="64">
        <f t="shared" si="85"/>
        <v>-33.774339838579323</v>
      </c>
      <c r="AF119" s="32" t="str">
        <f t="shared" si="70"/>
        <v>-0.0000198412698412698</v>
      </c>
      <c r="AG119" s="32" t="str">
        <f t="shared" si="71"/>
        <v>0.0000222462066493724i</v>
      </c>
      <c r="AH119" s="32">
        <f t="shared" si="86"/>
        <v>2.2246206649372398E-5</v>
      </c>
      <c r="AI119" s="32">
        <f t="shared" si="87"/>
        <v>1.5707963267948966</v>
      </c>
      <c r="AJ119" s="32" t="str">
        <f t="shared" si="72"/>
        <v>1+0.00772169110749909i</v>
      </c>
      <c r="AK119" s="32">
        <f t="shared" si="88"/>
        <v>1.0000298118124078</v>
      </c>
      <c r="AL119" s="32">
        <f t="shared" si="89"/>
        <v>7.7215376456303917E-3</v>
      </c>
      <c r="AM119" s="32" t="str">
        <f t="shared" si="73"/>
        <v>1+0.166981570199668i</v>
      </c>
      <c r="AN119" s="32">
        <f t="shared" si="90"/>
        <v>1.0138455724548718</v>
      </c>
      <c r="AO119" s="32">
        <f t="shared" si="91"/>
        <v>0.16545505438646993</v>
      </c>
      <c r="AP119" s="61" t="str">
        <f t="shared" si="92"/>
        <v>-0.142034544963209+0.892991268676679i</v>
      </c>
      <c r="AQ119" s="52">
        <f t="shared" si="93"/>
        <v>-0.87455283209322499</v>
      </c>
      <c r="AR119" s="64">
        <f t="shared" si="94"/>
        <v>99.037464797006223</v>
      </c>
      <c r="AS119" s="61" t="str">
        <f t="shared" si="95"/>
        <v>38.7633118923163+84.1348097241898i</v>
      </c>
      <c r="AT119" s="67">
        <f t="shared" si="96"/>
        <v>39.335510888259314</v>
      </c>
      <c r="AU119" s="64">
        <f t="shared" si="97"/>
        <v>65.2631249584269</v>
      </c>
    </row>
    <row r="120" spans="14:47" x14ac:dyDescent="0.25">
      <c r="N120" s="11">
        <v>2</v>
      </c>
      <c r="O120" s="53">
        <f t="shared" ref="O120:O183" si="98">10^(2+(N120/100))</f>
        <v>104.71285480508998</v>
      </c>
      <c r="P120" s="51" t="str">
        <f t="shared" si="65"/>
        <v>122.692307692308</v>
      </c>
      <c r="Q120" s="18" t="str">
        <f t="shared" si="66"/>
        <v>1+0.674378527553775i</v>
      </c>
      <c r="R120" s="18">
        <f t="shared" si="75"/>
        <v>1.2061452642304731</v>
      </c>
      <c r="S120" s="18">
        <f t="shared" si="76"/>
        <v>0.59332259822742806</v>
      </c>
      <c r="T120" s="18" t="str">
        <f t="shared" si="67"/>
        <v>1+0.000134875705510755i</v>
      </c>
      <c r="U120" s="18">
        <f t="shared" si="77"/>
        <v>1.0000000090957279</v>
      </c>
      <c r="V120" s="18">
        <f t="shared" si="78"/>
        <v>1.3487570469289319E-4</v>
      </c>
      <c r="W120" s="32" t="str">
        <f t="shared" si="68"/>
        <v>1-0.00638899229893722i</v>
      </c>
      <c r="X120" s="18">
        <f t="shared" si="79"/>
        <v>1.0000204094030261</v>
      </c>
      <c r="Y120" s="18">
        <f t="shared" si="80"/>
        <v>-6.3889053698332997E-3</v>
      </c>
      <c r="Z120" s="32" t="str">
        <f t="shared" si="69"/>
        <v>0.999999641966303+0.000681782773601138i</v>
      </c>
      <c r="AA120" s="18">
        <f t="shared" si="81"/>
        <v>0.99999987438023419</v>
      </c>
      <c r="AB120" s="18">
        <f t="shared" si="82"/>
        <v>6.8178291206516409E-4</v>
      </c>
      <c r="AC120" s="69" t="str">
        <f t="shared" si="83"/>
        <v>83.9422155968644-57.4598092642291i</v>
      </c>
      <c r="AD120" s="67">
        <f t="shared" si="84"/>
        <v>40.148532824356728</v>
      </c>
      <c r="AE120" s="64">
        <f t="shared" si="85"/>
        <v>-34.392273556335489</v>
      </c>
      <c r="AF120" s="32" t="str">
        <f t="shared" si="70"/>
        <v>-0.0000198412698412698</v>
      </c>
      <c r="AG120" s="32" t="str">
        <f t="shared" si="71"/>
        <v>0.0000227643873691323i</v>
      </c>
      <c r="AH120" s="32">
        <f t="shared" si="86"/>
        <v>2.2764387369132299E-5</v>
      </c>
      <c r="AI120" s="32">
        <f t="shared" si="87"/>
        <v>1.5707963267948966</v>
      </c>
      <c r="AJ120" s="32" t="str">
        <f t="shared" si="72"/>
        <v>1+0.00790155239886044i</v>
      </c>
      <c r="AK120" s="32">
        <f t="shared" si="88"/>
        <v>1.0000312167779124</v>
      </c>
      <c r="AL120" s="32">
        <f t="shared" si="89"/>
        <v>7.9013879617827413E-3</v>
      </c>
      <c r="AM120" s="32" t="str">
        <f t="shared" si="73"/>
        <v>1+0.170871070625357i</v>
      </c>
      <c r="AN120" s="32">
        <f t="shared" si="90"/>
        <v>1.0144934316084337</v>
      </c>
      <c r="AO120" s="32">
        <f t="shared" si="91"/>
        <v>0.1692366388936587</v>
      </c>
      <c r="AP120" s="61" t="str">
        <f t="shared" si="92"/>
        <v>-0.142034145868675+0.87271481410957i</v>
      </c>
      <c r="AQ120" s="52">
        <f t="shared" si="93"/>
        <v>-1.069016422868214</v>
      </c>
      <c r="AR120" s="64">
        <f t="shared" si="94"/>
        <v>99.243828965080567</v>
      </c>
      <c r="AS120" s="61" t="str">
        <f t="shared" si="95"/>
        <v>38.2233658661782+81.4188700111847i</v>
      </c>
      <c r="AT120" s="67">
        <f t="shared" si="96"/>
        <v>39.079516401488512</v>
      </c>
      <c r="AU120" s="64">
        <f t="shared" si="97"/>
        <v>64.851555408745099</v>
      </c>
    </row>
    <row r="121" spans="14:47" x14ac:dyDescent="0.25">
      <c r="N121" s="11">
        <v>3</v>
      </c>
      <c r="O121" s="53">
        <f t="shared" si="98"/>
        <v>107.15193052376065</v>
      </c>
      <c r="P121" s="51" t="str">
        <f t="shared" si="65"/>
        <v>122.692307692308</v>
      </c>
      <c r="Q121" s="18" t="str">
        <f t="shared" si="66"/>
        <v>1+0.690086821390392i</v>
      </c>
      <c r="R121" s="18">
        <f t="shared" si="75"/>
        <v>1.2149978687457419</v>
      </c>
      <c r="S121" s="18">
        <f t="shared" si="76"/>
        <v>0.60404179396117041</v>
      </c>
      <c r="T121" s="18" t="str">
        <f t="shared" si="67"/>
        <v>1+0.000138017364278078i</v>
      </c>
      <c r="U121" s="18">
        <f t="shared" si="77"/>
        <v>1.0000000095243964</v>
      </c>
      <c r="V121" s="18">
        <f t="shared" si="78"/>
        <v>1.3801736340172328E-4</v>
      </c>
      <c r="W121" s="32" t="str">
        <f t="shared" si="68"/>
        <v>1-0.00653781104723816i</v>
      </c>
      <c r="X121" s="18">
        <f t="shared" si="79"/>
        <v>1.0000213712582793</v>
      </c>
      <c r="Y121" s="18">
        <f t="shared" si="80"/>
        <v>-6.5377179011326322E-3</v>
      </c>
      <c r="Z121" s="32" t="str">
        <f t="shared" si="69"/>
        <v>0.999999625092695+0.000697663534483781i</v>
      </c>
      <c r="AA121" s="18">
        <f t="shared" si="81"/>
        <v>0.99999986845996025</v>
      </c>
      <c r="AB121" s="18">
        <f t="shared" si="82"/>
        <v>6.9766368285065791E-4</v>
      </c>
      <c r="AC121" s="69" t="str">
        <f t="shared" si="83"/>
        <v>82.7051128621454-57.9445118644766i</v>
      </c>
      <c r="AD121" s="67">
        <f t="shared" si="84"/>
        <v>40.08502323081327</v>
      </c>
      <c r="AE121" s="64">
        <f t="shared" si="85"/>
        <v>-35.015694458992385</v>
      </c>
      <c r="AF121" s="32" t="str">
        <f t="shared" si="70"/>
        <v>-0.0000198412698412698</v>
      </c>
      <c r="AG121" s="32" t="str">
        <f t="shared" si="71"/>
        <v>0.0000232946380683976i</v>
      </c>
      <c r="AH121" s="32">
        <f t="shared" si="86"/>
        <v>2.3294638068397602E-5</v>
      </c>
      <c r="AI121" s="32">
        <f t="shared" si="87"/>
        <v>1.5707963267948966</v>
      </c>
      <c r="AJ121" s="32" t="str">
        <f t="shared" si="72"/>
        <v>1+0.00808560319789307i</v>
      </c>
      <c r="AK121" s="32">
        <f t="shared" si="88"/>
        <v>1.0000326879552857</v>
      </c>
      <c r="AL121" s="32">
        <f t="shared" si="89"/>
        <v>8.0854270007008743E-3</v>
      </c>
      <c r="AM121" s="32" t="str">
        <f t="shared" si="73"/>
        <v>1+0.174851169154438i</v>
      </c>
      <c r="AN121" s="32">
        <f t="shared" si="90"/>
        <v>1.015171380287424</v>
      </c>
      <c r="AO121" s="32">
        <f t="shared" si="91"/>
        <v>0.17310125446372202</v>
      </c>
      <c r="AP121" s="61" t="str">
        <f t="shared" si="92"/>
        <v>-0.1420337279678+0.852901084191353i</v>
      </c>
      <c r="AQ121" s="52">
        <f t="shared" si="93"/>
        <v>-1.2632266786849147</v>
      </c>
      <c r="AR121" s="64">
        <f t="shared" si="94"/>
        <v>99.454710466490098</v>
      </c>
      <c r="AS121" s="61" t="str">
        <f t="shared" si="95"/>
        <v>37.6740214903427+78.7693554636781i</v>
      </c>
      <c r="AT121" s="67">
        <f t="shared" si="96"/>
        <v>38.821796552128362</v>
      </c>
      <c r="AU121" s="64">
        <f t="shared" si="97"/>
        <v>64.439016007497699</v>
      </c>
    </row>
    <row r="122" spans="14:47" x14ac:dyDescent="0.25">
      <c r="N122" s="11">
        <v>4</v>
      </c>
      <c r="O122" s="53">
        <f t="shared" si="98"/>
        <v>109.64781961431861</v>
      </c>
      <c r="P122" s="51" t="str">
        <f t="shared" si="65"/>
        <v>122.692307692308</v>
      </c>
      <c r="Q122" s="18" t="str">
        <f t="shared" si="66"/>
        <v>1+0.706161008394088i</v>
      </c>
      <c r="R122" s="18">
        <f t="shared" si="75"/>
        <v>1.224199072772135</v>
      </c>
      <c r="S122" s="18">
        <f t="shared" si="76"/>
        <v>0.614848912323809</v>
      </c>
      <c r="T122" s="18" t="str">
        <f t="shared" si="67"/>
        <v>1+0.000141232201678818i</v>
      </c>
      <c r="U122" s="18">
        <f t="shared" si="77"/>
        <v>1.0000000099732673</v>
      </c>
      <c r="V122" s="18">
        <f t="shared" si="78"/>
        <v>1.4123220073978699E-4</v>
      </c>
      <c r="W122" s="32" t="str">
        <f t="shared" si="68"/>
        <v>1-0.00669009622949451i</v>
      </c>
      <c r="X122" s="18">
        <f t="shared" si="79"/>
        <v>1.0000223784433826</v>
      </c>
      <c r="Y122" s="18">
        <f t="shared" si="80"/>
        <v>-6.6899964217648576E-3</v>
      </c>
      <c r="Z122" s="32" t="str">
        <f t="shared" si="69"/>
        <v>0.999999607423858+0.000713914205807075i</v>
      </c>
      <c r="AA122" s="18">
        <f t="shared" si="81"/>
        <v>0.99999986226067217</v>
      </c>
      <c r="AB122" s="18">
        <f t="shared" si="82"/>
        <v>7.1391436478504826E-4</v>
      </c>
      <c r="AC122" s="69" t="str">
        <f t="shared" si="83"/>
        <v>81.447633383167-58.4062299557139i</v>
      </c>
      <c r="AD122" s="67">
        <f t="shared" si="84"/>
        <v>40.019501434822466</v>
      </c>
      <c r="AE122" s="64">
        <f t="shared" si="85"/>
        <v>-35.644368545290391</v>
      </c>
      <c r="AF122" s="32" t="str">
        <f t="shared" si="70"/>
        <v>-0.0000198412698412698</v>
      </c>
      <c r="AG122" s="32" t="str">
        <f t="shared" si="71"/>
        <v>0.0000238372398931078i</v>
      </c>
      <c r="AH122" s="32">
        <f t="shared" si="86"/>
        <v>2.3837239893107798E-5</v>
      </c>
      <c r="AI122" s="32">
        <f t="shared" si="87"/>
        <v>1.5707963267948966</v>
      </c>
      <c r="AJ122" s="32" t="str">
        <f t="shared" si="72"/>
        <v>1+0.00827394109076683i</v>
      </c>
      <c r="AK122" s="32">
        <f t="shared" si="88"/>
        <v>1.0000342284647927</v>
      </c>
      <c r="AL122" s="32">
        <f t="shared" si="89"/>
        <v>8.2737522924228694E-3</v>
      </c>
      <c r="AM122" s="32" t="str">
        <f t="shared" si="73"/>
        <v>1+0.178923976087833i</v>
      </c>
      <c r="AN122" s="32">
        <f t="shared" si="90"/>
        <v>1.0158807947879906</v>
      </c>
      <c r="AO122" s="32">
        <f t="shared" si="91"/>
        <v>0.17705048818411648</v>
      </c>
      <c r="AP122" s="61" t="str">
        <f t="shared" si="92"/>
        <v>-0.142033290374498+0.833539573398897i</v>
      </c>
      <c r="AQ122" s="52">
        <f t="shared" si="93"/>
        <v>-1.4571723700907921</v>
      </c>
      <c r="AR122" s="64">
        <f t="shared" si="94"/>
        <v>99.670194646588186</v>
      </c>
      <c r="AS122" s="61" t="str">
        <f t="shared" si="95"/>
        <v>37.1156286384966+76.1854546035344i</v>
      </c>
      <c r="AT122" s="67">
        <f t="shared" si="96"/>
        <v>38.562329064731671</v>
      </c>
      <c r="AU122" s="64">
        <f t="shared" si="97"/>
        <v>64.02582610129781</v>
      </c>
    </row>
    <row r="123" spans="14:47" x14ac:dyDescent="0.25">
      <c r="N123" s="11">
        <v>5</v>
      </c>
      <c r="O123" s="53">
        <f t="shared" si="98"/>
        <v>112.20184543019634</v>
      </c>
      <c r="P123" s="51" t="str">
        <f t="shared" si="65"/>
        <v>122.692307692308</v>
      </c>
      <c r="Q123" s="18" t="str">
        <f t="shared" si="66"/>
        <v>1+0.722609611311581i</v>
      </c>
      <c r="R123" s="18">
        <f t="shared" si="75"/>
        <v>1.2337603699097626</v>
      </c>
      <c r="S123" s="18">
        <f t="shared" si="76"/>
        <v>0.6257395858536795</v>
      </c>
      <c r="T123" s="18" t="str">
        <f t="shared" si="67"/>
        <v>1+0.000144521922262316i</v>
      </c>
      <c r="U123" s="18">
        <f t="shared" si="77"/>
        <v>1.0000000104432929</v>
      </c>
      <c r="V123" s="18">
        <f t="shared" si="78"/>
        <v>1.4452192125612615E-4</v>
      </c>
      <c r="W123" s="32" t="str">
        <f t="shared" si="68"/>
        <v>1-0.00684592858932562i</v>
      </c>
      <c r="X123" s="18">
        <f t="shared" si="79"/>
        <v>1.0000234330945701</v>
      </c>
      <c r="Y123" s="18">
        <f t="shared" si="80"/>
        <v>-6.8458216435518318E-3</v>
      </c>
      <c r="Z123" s="32" t="str">
        <f t="shared" si="69"/>
        <v>0.999999588922315+0.00073054340389206i</v>
      </c>
      <c r="AA123" s="18">
        <f t="shared" si="81"/>
        <v>0.99999985576922157</v>
      </c>
      <c r="AB123" s="18">
        <f t="shared" si="82"/>
        <v>7.3054357424002722E-4</v>
      </c>
      <c r="AC123" s="69" t="str">
        <f t="shared" si="83"/>
        <v>80.1706351195312-58.8439146009064i</v>
      </c>
      <c r="AD123" s="67">
        <f t="shared" si="84"/>
        <v>39.951935260251673</v>
      </c>
      <c r="AE123" s="64">
        <f t="shared" si="85"/>
        <v>-36.278050598573969</v>
      </c>
      <c r="AF123" s="32" t="str">
        <f t="shared" si="70"/>
        <v>-0.0000198412698412698</v>
      </c>
      <c r="AG123" s="32" t="str">
        <f t="shared" si="71"/>
        <v>0.0000243924805379324i</v>
      </c>
      <c r="AH123" s="32">
        <f t="shared" si="86"/>
        <v>2.4392480537932399E-5</v>
      </c>
      <c r="AI123" s="32">
        <f t="shared" si="87"/>
        <v>1.5707963267948966</v>
      </c>
      <c r="AJ123" s="32" t="str">
        <f t="shared" si="72"/>
        <v>1+0.00846666593672548i</v>
      </c>
      <c r="AK123" s="32">
        <f t="shared" si="88"/>
        <v>1.0000358415737329</v>
      </c>
      <c r="AL123" s="32">
        <f t="shared" si="89"/>
        <v>8.466463636046721E-3</v>
      </c>
      <c r="AM123" s="32" t="str">
        <f t="shared" si="73"/>
        <v>1+0.183091650881689i</v>
      </c>
      <c r="AN123" s="32">
        <f t="shared" si="90"/>
        <v>1.0166231123787135</v>
      </c>
      <c r="AO123" s="32">
        <f t="shared" si="91"/>
        <v>0.18108594099409261</v>
      </c>
      <c r="AP123" s="61" t="str">
        <f t="shared" si="92"/>
        <v>-0.14203283216095+0.814620015980125i</v>
      </c>
      <c r="AQ123" s="52">
        <f t="shared" si="93"/>
        <v>-1.6508418037039205</v>
      </c>
      <c r="AR123" s="64">
        <f t="shared" si="94"/>
        <v>99.890367514370084</v>
      </c>
      <c r="AS123" s="61" t="str">
        <f t="shared" si="95"/>
        <v>36.5485682903543+73.6663719084131i</v>
      </c>
      <c r="AT123" s="67">
        <f t="shared" si="96"/>
        <v>38.301093456547747</v>
      </c>
      <c r="AU123" s="64">
        <f t="shared" si="97"/>
        <v>63.612316915796164</v>
      </c>
    </row>
    <row r="124" spans="14:47" x14ac:dyDescent="0.25">
      <c r="N124" s="11">
        <v>6</v>
      </c>
      <c r="O124" s="53">
        <f t="shared" si="98"/>
        <v>114.81536214968835</v>
      </c>
      <c r="P124" s="51" t="str">
        <f t="shared" si="65"/>
        <v>122.692307692308</v>
      </c>
      <c r="Q124" s="18" t="str">
        <f t="shared" si="66"/>
        <v>1+0.739441351409861i</v>
      </c>
      <c r="R124" s="18">
        <f t="shared" si="75"/>
        <v>1.2436934960732253</v>
      </c>
      <c r="S124" s="18">
        <f t="shared" si="76"/>
        <v>0.6367092554621917</v>
      </c>
      <c r="T124" s="18" t="str">
        <f t="shared" si="67"/>
        <v>1+0.000147888270281972i</v>
      </c>
      <c r="U124" s="18">
        <f t="shared" si="77"/>
        <v>1.0000000109354701</v>
      </c>
      <c r="V124" s="18">
        <f t="shared" si="78"/>
        <v>1.4788826920382017E-4</v>
      </c>
      <c r="W124" s="32" t="str">
        <f t="shared" si="68"/>
        <v>1-0.00700539075111138i</v>
      </c>
      <c r="X124" s="18">
        <f t="shared" si="79"/>
        <v>1.0000245374487446</v>
      </c>
      <c r="Y124" s="18">
        <f t="shared" si="80"/>
        <v>-7.0052761568020136E-3</v>
      </c>
      <c r="Z124" s="32" t="str">
        <f t="shared" si="69"/>
        <v>0.99999956954882+0.000747559945759674i</v>
      </c>
      <c r="AA124" s="18">
        <f t="shared" si="81"/>
        <v>0.99999984897183747</v>
      </c>
      <c r="AB124" s="18">
        <f t="shared" si="82"/>
        <v>7.4756012829081014E-4</v>
      </c>
      <c r="AC124" s="69" t="str">
        <f t="shared" si="83"/>
        <v>78.8750448642177-59.2565524408738i</v>
      </c>
      <c r="AD124" s="67">
        <f t="shared" si="84"/>
        <v>39.882293971880941</v>
      </c>
      <c r="AE124" s="64">
        <f t="shared" si="85"/>
        <v>-36.916484539627334</v>
      </c>
      <c r="AF124" s="32" t="str">
        <f t="shared" si="70"/>
        <v>-0.0000198412698412698</v>
      </c>
      <c r="AG124" s="32" t="str">
        <f t="shared" si="71"/>
        <v>0.0000249606543988109i</v>
      </c>
      <c r="AH124" s="32">
        <f t="shared" si="86"/>
        <v>2.4960654398810902E-5</v>
      </c>
      <c r="AI124" s="32">
        <f t="shared" si="87"/>
        <v>1.5707963267948966</v>
      </c>
      <c r="AJ124" s="32" t="str">
        <f t="shared" si="72"/>
        <v>1+0.00866387992103335i</v>
      </c>
      <c r="AK124" s="32">
        <f t="shared" si="88"/>
        <v>1.0000375307033662</v>
      </c>
      <c r="AL124" s="32">
        <f t="shared" si="89"/>
        <v>8.6636631523899672E-3</v>
      </c>
      <c r="AM124" s="32" t="str">
        <f t="shared" si="73"/>
        <v>1+0.187356403292346i</v>
      </c>
      <c r="AN124" s="32">
        <f t="shared" si="90"/>
        <v>1.0173998338188601</v>
      </c>
      <c r="AO124" s="32">
        <f t="shared" si="91"/>
        <v>0.18520922655005456</v>
      </c>
      <c r="AP124" s="61" t="str">
        <f t="shared" si="92"/>
        <v>-0.142032352355631+0.796132380510854i</v>
      </c>
      <c r="AQ124" s="52">
        <f t="shared" si="93"/>
        <v>-1.8442228061969903</v>
      </c>
      <c r="AR124" s="64">
        <f t="shared" si="94"/>
        <v>100.11531567444547</v>
      </c>
      <c r="AS124" s="61" t="str">
        <f t="shared" si="95"/>
        <v>35.9732519913983+71.2113247663122i</v>
      </c>
      <c r="AT124" s="67">
        <f t="shared" si="96"/>
        <v>38.038071165683959</v>
      </c>
      <c r="AU124" s="64">
        <f t="shared" si="97"/>
        <v>63.198831134818185</v>
      </c>
    </row>
    <row r="125" spans="14:47" x14ac:dyDescent="0.25">
      <c r="N125" s="11">
        <v>7</v>
      </c>
      <c r="O125" s="53">
        <f t="shared" si="98"/>
        <v>117.48975549395293</v>
      </c>
      <c r="P125" s="51" t="str">
        <f t="shared" si="65"/>
        <v>122.692307692308</v>
      </c>
      <c r="Q125" s="18" t="str">
        <f t="shared" si="66"/>
        <v>1+0.75666515310032i</v>
      </c>
      <c r="R125" s="18">
        <f t="shared" si="75"/>
        <v>1.2540104281529443</v>
      </c>
      <c r="S125" s="18">
        <f t="shared" si="76"/>
        <v>0.64775317753858574</v>
      </c>
      <c r="T125" s="18" t="str">
        <f t="shared" si="67"/>
        <v>1+0.000151333030620064i</v>
      </c>
      <c r="U125" s="18">
        <f t="shared" si="77"/>
        <v>1.0000000114508429</v>
      </c>
      <c r="V125" s="18">
        <f t="shared" si="78"/>
        <v>1.5133302946480348E-4</v>
      </c>
      <c r="W125" s="32" t="str">
        <f t="shared" si="68"/>
        <v>1-0.00716856726380068i</v>
      </c>
      <c r="X125" s="18">
        <f t="shared" si="79"/>
        <v>1.0000256938482208</v>
      </c>
      <c r="Y125" s="18">
        <f t="shared" si="80"/>
        <v>-7.1684444739563138E-3</v>
      </c>
      <c r="Z125" s="32" t="str">
        <f t="shared" si="69"/>
        <v>0.999999549262281+0.000764972853805654i</v>
      </c>
      <c r="AA125" s="18">
        <f t="shared" si="81"/>
        <v>0.99999984185410351</v>
      </c>
      <c r="AB125" s="18">
        <f t="shared" si="82"/>
        <v>7.6497304939129038E-4</v>
      </c>
      <c r="AC125" s="69" t="str">
        <f t="shared" si="83"/>
        <v>77.5618565518679-59.6431710247583i</v>
      </c>
      <c r="AD125" s="67">
        <f t="shared" si="84"/>
        <v>39.810548385206317</v>
      </c>
      <c r="AE125" s="64">
        <f t="shared" si="85"/>
        <v>-37.559403836462906</v>
      </c>
      <c r="AF125" s="32" t="str">
        <f t="shared" si="70"/>
        <v>-0.0000198412698412698</v>
      </c>
      <c r="AG125" s="32" t="str">
        <f t="shared" si="71"/>
        <v>0.000025542062729045i</v>
      </c>
      <c r="AH125" s="32">
        <f t="shared" si="86"/>
        <v>2.5542062729045002E-5</v>
      </c>
      <c r="AI125" s="32">
        <f t="shared" si="87"/>
        <v>1.5707963267948966</v>
      </c>
      <c r="AJ125" s="32" t="str">
        <f t="shared" si="72"/>
        <v>1+0.00886568760915535i</v>
      </c>
      <c r="AK125" s="32">
        <f t="shared" si="88"/>
        <v>1.0000392994361686</v>
      </c>
      <c r="AL125" s="32">
        <f t="shared" si="89"/>
        <v>8.8654553378621735E-3</v>
      </c>
      <c r="AM125" s="32" t="str">
        <f t="shared" si="73"/>
        <v>1+0.191720494547985i</v>
      </c>
      <c r="AN125" s="32">
        <f t="shared" si="90"/>
        <v>1.0182125259638697</v>
      </c>
      <c r="AO125" s="32">
        <f t="shared" si="91"/>
        <v>0.1894219699823283</v>
      </c>
      <c r="AP125" s="61" t="str">
        <f t="shared" si="92"/>
        <v>-0.142031849941259+0.778066864575887i</v>
      </c>
      <c r="AQ125" s="52">
        <f t="shared" si="93"/>
        <v>-2.0373027080274815</v>
      </c>
      <c r="AR125" s="64">
        <f t="shared" si="94"/>
        <v>100.34512625271994</v>
      </c>
      <c r="AS125" s="61" t="str">
        <f t="shared" si="95"/>
        <v>35.3901211016567+68.8195404550059i</v>
      </c>
      <c r="AT125" s="67">
        <f t="shared" si="96"/>
        <v>37.773245677178842</v>
      </c>
      <c r="AU125" s="64">
        <f t="shared" si="97"/>
        <v>62.785722416257059</v>
      </c>
    </row>
    <row r="126" spans="14:47" x14ac:dyDescent="0.25">
      <c r="N126" s="11">
        <v>8</v>
      </c>
      <c r="O126" s="53">
        <f t="shared" si="98"/>
        <v>120.22644346174135</v>
      </c>
      <c r="P126" s="51" t="str">
        <f t="shared" si="65"/>
        <v>122.692307692308</v>
      </c>
      <c r="Q126" s="18" t="str">
        <f t="shared" si="66"/>
        <v>1+0.774290148670603i</v>
      </c>
      <c r="R126" s="18">
        <f t="shared" si="75"/>
        <v>1.2647233825340403</v>
      </c>
      <c r="S126" s="18">
        <f t="shared" si="76"/>
        <v>0.65886643203917095</v>
      </c>
      <c r="T126" s="18" t="str">
        <f t="shared" si="67"/>
        <v>1+0.000154858029734121i</v>
      </c>
      <c r="U126" s="18">
        <f t="shared" si="77"/>
        <v>1.0000000119905046</v>
      </c>
      <c r="V126" s="18">
        <f t="shared" si="78"/>
        <v>1.5485802849623707E-4</v>
      </c>
      <c r="W126" s="32" t="str">
        <f t="shared" si="68"/>
        <v>1-0.00733554464574046i</v>
      </c>
      <c r="X126" s="18">
        <f t="shared" si="79"/>
        <v>1.0000269047456922</v>
      </c>
      <c r="Y126" s="18">
        <f t="shared" si="80"/>
        <v>-7.3354130742429146E-3</v>
      </c>
      <c r="Z126" s="32" t="str">
        <f t="shared" si="69"/>
        <v>0.999999528019667+0.000782791360584337i</v>
      </c>
      <c r="AA126" s="18">
        <f t="shared" si="81"/>
        <v>0.99999983440092177</v>
      </c>
      <c r="AB126" s="18">
        <f t="shared" si="82"/>
        <v>7.8279157015812234E-4</v>
      </c>
      <c r="AC126" s="69" t="str">
        <f t="shared" si="83"/>
        <v>76.2321290864393-60.0028440708995i</v>
      </c>
      <c r="AD126" s="67">
        <f t="shared" si="84"/>
        <v>39.736670973127325</v>
      </c>
      <c r="AE126" s="64">
        <f t="shared" si="85"/>
        <v>-38.206531970578709</v>
      </c>
      <c r="AF126" s="32" t="str">
        <f t="shared" si="70"/>
        <v>-0.0000198412698412698</v>
      </c>
      <c r="AG126" s="32" t="str">
        <f t="shared" si="71"/>
        <v>0.0000261370137990272i</v>
      </c>
      <c r="AH126" s="32">
        <f t="shared" si="86"/>
        <v>2.6137013799027199E-5</v>
      </c>
      <c r="AI126" s="32">
        <f t="shared" si="87"/>
        <v>1.5707963267948966</v>
      </c>
      <c r="AJ126" s="32" t="str">
        <f t="shared" si="72"/>
        <v>1+0.009072196002199i</v>
      </c>
      <c r="AK126" s="32">
        <f t="shared" si="88"/>
        <v>1.0000411515234271</v>
      </c>
      <c r="AL126" s="32">
        <f t="shared" si="89"/>
        <v>9.0719471195774386E-3</v>
      </c>
      <c r="AM126" s="32" t="str">
        <f t="shared" si="73"/>
        <v>1+0.196186238547553i</v>
      </c>
      <c r="AN126" s="32">
        <f t="shared" si="90"/>
        <v>1.0190628244595312</v>
      </c>
      <c r="AO126" s="32">
        <f t="shared" si="91"/>
        <v>0.19372580653729657</v>
      </c>
      <c r="AP126" s="61" t="str">
        <f t="shared" si="92"/>
        <v>-0.142031323852636+0.76041388957153i</v>
      </c>
      <c r="AQ126" s="52">
        <f t="shared" si="93"/>
        <v>-2.2300683269420749</v>
      </c>
      <c r="AR126" s="64">
        <f t="shared" si="94"/>
        <v>100.57988681543733</v>
      </c>
      <c r="AS126" s="61" t="str">
        <f t="shared" si="95"/>
        <v>34.7996458310547+66.4902531672514i</v>
      </c>
      <c r="AT126" s="67">
        <f t="shared" si="96"/>
        <v>37.50660264618525</v>
      </c>
      <c r="AU126" s="64">
        <f t="shared" si="97"/>
        <v>62.373354844858632</v>
      </c>
    </row>
    <row r="127" spans="14:47" x14ac:dyDescent="0.25">
      <c r="N127" s="11">
        <v>9</v>
      </c>
      <c r="O127" s="53">
        <f t="shared" si="98"/>
        <v>123.02687708123821</v>
      </c>
      <c r="P127" s="51" t="str">
        <f t="shared" si="65"/>
        <v>122.692307692308</v>
      </c>
      <c r="Q127" s="18" t="str">
        <f t="shared" si="66"/>
        <v>1+0.792325683126651i</v>
      </c>
      <c r="R127" s="18">
        <f t="shared" si="75"/>
        <v>1.2758448135028468</v>
      </c>
      <c r="S127" s="18">
        <f t="shared" si="76"/>
        <v>0.67004393154353781</v>
      </c>
      <c r="T127" s="18" t="str">
        <f t="shared" si="67"/>
        <v>1+0.00015846513662533i</v>
      </c>
      <c r="U127" s="18">
        <f t="shared" si="77"/>
        <v>1.0000000125555997</v>
      </c>
      <c r="V127" s="18">
        <f t="shared" si="78"/>
        <v>1.5846513529891345E-4</v>
      </c>
      <c r="W127" s="32" t="str">
        <f t="shared" si="68"/>
        <v>1-0.00750641143054882i</v>
      </c>
      <c r="X127" s="18">
        <f t="shared" si="79"/>
        <v>1.0000281727094316</v>
      </c>
      <c r="Y127" s="18">
        <f t="shared" si="80"/>
        <v>-7.5062704493636884E-3</v>
      </c>
      <c r="Z127" s="32" t="str">
        <f t="shared" si="69"/>
        <v>0.999999505775919+0.000801024913703868i</v>
      </c>
      <c r="AA127" s="18">
        <f t="shared" si="81"/>
        <v>0.99999982659648223</v>
      </c>
      <c r="AB127" s="18">
        <f t="shared" si="82"/>
        <v>8.0102513826622531E-4</v>
      </c>
      <c r="AC127" s="69" t="str">
        <f t="shared" si="83"/>
        <v>74.8869836881122-60.3346966088461i</v>
      </c>
      <c r="AD127" s="67">
        <f t="shared" si="84"/>
        <v>39.660635968743946</v>
      </c>
      <c r="AE127" s="64">
        <f t="shared" si="85"/>
        <v>-38.857582958683636</v>
      </c>
      <c r="AF127" s="32" t="str">
        <f t="shared" si="70"/>
        <v>-0.0000198412698412698</v>
      </c>
      <c r="AG127" s="32" t="str">
        <f t="shared" si="71"/>
        <v>0.0000267458230596899i</v>
      </c>
      <c r="AH127" s="32">
        <f t="shared" si="86"/>
        <v>2.67458230596899E-5</v>
      </c>
      <c r="AI127" s="32">
        <f t="shared" si="87"/>
        <v>1.5707963267948966</v>
      </c>
      <c r="AJ127" s="32" t="str">
        <f t="shared" si="72"/>
        <v>1+0.00928351459364771i</v>
      </c>
      <c r="AK127" s="32">
        <f t="shared" si="88"/>
        <v>1.0000430908931928</v>
      </c>
      <c r="AL127" s="32">
        <f t="shared" si="89"/>
        <v>9.2832479117345868E-3</v>
      </c>
      <c r="AM127" s="32" t="str">
        <f t="shared" si="73"/>
        <v>1+0.200756003087632i</v>
      </c>
      <c r="AN127" s="32">
        <f t="shared" si="90"/>
        <v>1.0199524365261947</v>
      </c>
      <c r="AO127" s="32">
        <f t="shared" si="91"/>
        <v>0.19812238009876301</v>
      </c>
      <c r="AP127" s="61" t="str">
        <f t="shared" si="92"/>
        <v>-0.142030772974398+0.743164095626743i</v>
      </c>
      <c r="AQ127" s="52">
        <f t="shared" si="93"/>
        <v>-2.4225059512873752</v>
      </c>
      <c r="AR127" s="64">
        <f t="shared" si="94"/>
        <v>100.81968528122979</v>
      </c>
      <c r="AS127" s="61" t="str">
        <f t="shared" si="95"/>
        <v>34.2023240612833+64.2227011033208i</v>
      </c>
      <c r="AT127" s="67">
        <f t="shared" si="96"/>
        <v>37.238130017456577</v>
      </c>
      <c r="AU127" s="64">
        <f t="shared" si="97"/>
        <v>61.962102322546201</v>
      </c>
    </row>
    <row r="128" spans="14:47" x14ac:dyDescent="0.25">
      <c r="N128" s="11">
        <v>10</v>
      </c>
      <c r="O128" s="53">
        <f t="shared" si="98"/>
        <v>125.89254117941677</v>
      </c>
      <c r="P128" s="51" t="str">
        <f t="shared" si="65"/>
        <v>122.692307692308</v>
      </c>
      <c r="Q128" s="18" t="str">
        <f t="shared" si="66"/>
        <v>1+0.810781319147562i</v>
      </c>
      <c r="R128" s="18">
        <f t="shared" si="75"/>
        <v>1.2873874115737891</v>
      </c>
      <c r="S128" s="18">
        <f t="shared" si="76"/>
        <v>0.68128043125105553</v>
      </c>
      <c r="T128" s="18" t="str">
        <f t="shared" si="67"/>
        <v>1+0.000162156263829513i</v>
      </c>
      <c r="U128" s="18">
        <f t="shared" si="77"/>
        <v>1.000000013147327</v>
      </c>
      <c r="V128" s="18">
        <f t="shared" si="78"/>
        <v>1.6215626240823208E-4</v>
      </c>
      <c r="W128" s="32" t="str">
        <f t="shared" si="68"/>
        <v>1-0.00768125821405675i</v>
      </c>
      <c r="X128" s="18">
        <f t="shared" si="79"/>
        <v>1.0000295004287378</v>
      </c>
      <c r="Y128" s="18">
        <f t="shared" si="80"/>
        <v>-7.6811071502358857E-3</v>
      </c>
      <c r="Z128" s="32" t="str">
        <f t="shared" si="69"/>
        <v>0.999999482483856+0.000819683180835464i</v>
      </c>
      <c r="AA128" s="18">
        <f t="shared" si="81"/>
        <v>0.99999981842423191</v>
      </c>
      <c r="AB128" s="18">
        <f t="shared" si="82"/>
        <v>8.1968342145836526E-4</v>
      </c>
      <c r="AC128" s="69" t="str">
        <f t="shared" si="83"/>
        <v>73.527600764976-60.6379099524427i</v>
      </c>
      <c r="AD128" s="67">
        <f t="shared" si="84"/>
        <v>39.582419463489778</v>
      </c>
      <c r="AE128" s="64">
        <f t="shared" si="85"/>
        <v>-39.512261928363223</v>
      </c>
      <c r="AF128" s="32" t="str">
        <f t="shared" si="70"/>
        <v>-0.0000198412698412698</v>
      </c>
      <c r="AG128" s="32" t="str">
        <f t="shared" si="71"/>
        <v>0.0000273688133097616i</v>
      </c>
      <c r="AH128" s="32">
        <f t="shared" si="86"/>
        <v>2.7368813309761599E-5</v>
      </c>
      <c r="AI128" s="32">
        <f t="shared" si="87"/>
        <v>1.5707963267948966</v>
      </c>
      <c r="AJ128" s="32" t="str">
        <f t="shared" si="72"/>
        <v>1+0.0094997554274158i</v>
      </c>
      <c r="AK128" s="32">
        <f t="shared" si="88"/>
        <v>1.0000451216586084</v>
      </c>
      <c r="AL128" s="32">
        <f t="shared" si="89"/>
        <v>9.4994696732938703E-3</v>
      </c>
      <c r="AM128" s="32" t="str">
        <f t="shared" si="73"/>
        <v>1+0.205432211117867i</v>
      </c>
      <c r="AN128" s="32">
        <f t="shared" si="90"/>
        <v>1.0208831438341883</v>
      </c>
      <c r="AO128" s="32">
        <f t="shared" si="91"/>
        <v>0.20261334158221578</v>
      </c>
      <c r="AP128" s="61" t="str">
        <f t="shared" si="92"/>
        <v>-0.142030196138648+0.726308336640276i</v>
      </c>
      <c r="AQ128" s="52">
        <f t="shared" si="93"/>
        <v>-2.6146013231627863</v>
      </c>
      <c r="AR128" s="64">
        <f t="shared" si="94"/>
        <v>101.06460982581119</v>
      </c>
      <c r="AS128" s="61" t="str">
        <f t="shared" si="95"/>
        <v>33.5986799566478+62.0161236527431i</v>
      </c>
      <c r="AT128" s="67">
        <f t="shared" si="96"/>
        <v>36.967818140326983</v>
      </c>
      <c r="AU128" s="64">
        <f t="shared" si="97"/>
        <v>61.552347897447937</v>
      </c>
    </row>
    <row r="129" spans="14:47" x14ac:dyDescent="0.25">
      <c r="N129" s="11">
        <v>11</v>
      </c>
      <c r="O129" s="53">
        <f t="shared" si="98"/>
        <v>128.82495516931343</v>
      </c>
      <c r="P129" s="51" t="str">
        <f t="shared" si="65"/>
        <v>122.692307692308</v>
      </c>
      <c r="Q129" s="18" t="str">
        <f t="shared" si="66"/>
        <v>1+0.829666842155847i</v>
      </c>
      <c r="R129" s="18">
        <f t="shared" si="75"/>
        <v>1.2993641017716531</v>
      </c>
      <c r="S129" s="18">
        <f t="shared" si="76"/>
        <v>0.69257053988158812</v>
      </c>
      <c r="T129" s="18" t="str">
        <f t="shared" si="67"/>
        <v>1+0.000165933368431169i</v>
      </c>
      <c r="U129" s="18">
        <f t="shared" si="77"/>
        <v>1.0000000137669414</v>
      </c>
      <c r="V129" s="18">
        <f t="shared" si="78"/>
        <v>1.6593336690823906E-4</v>
      </c>
      <c r="W129" s="32" t="str">
        <f t="shared" si="68"/>
        <v>1-0.00786017770234326i</v>
      </c>
      <c r="X129" s="18">
        <f t="shared" si="79"/>
        <v>1.000030890719638</v>
      </c>
      <c r="Y129" s="18">
        <f t="shared" si="80"/>
        <v>-7.8600158348129268E-3</v>
      </c>
      <c r="Z129" s="32" t="str">
        <f t="shared" si="69"/>
        <v>0.999999458094071+0.000838776054839328i</v>
      </c>
      <c r="AA129" s="18">
        <f t="shared" si="81"/>
        <v>0.9999998098668349</v>
      </c>
      <c r="AB129" s="18">
        <f t="shared" si="82"/>
        <v>8.387763126714128E-4</v>
      </c>
      <c r="AC129" s="69" t="str">
        <f t="shared" si="83"/>
        <v>72.1552163209202-60.911726453897i</v>
      </c>
      <c r="AD129" s="67">
        <f t="shared" si="84"/>
        <v>39.50199949984458</v>
      </c>
      <c r="AE129" s="64">
        <f t="shared" si="85"/>
        <v>-40.17026574562</v>
      </c>
      <c r="AF129" s="32" t="str">
        <f t="shared" si="70"/>
        <v>-0.0000198412698412698</v>
      </c>
      <c r="AG129" s="32" t="str">
        <f t="shared" si="71"/>
        <v>0.0000280063148669193i</v>
      </c>
      <c r="AH129" s="32">
        <f t="shared" si="86"/>
        <v>2.80063148669193E-5</v>
      </c>
      <c r="AI129" s="32">
        <f t="shared" si="87"/>
        <v>1.5707963267948966</v>
      </c>
      <c r="AJ129" s="32" t="str">
        <f t="shared" si="72"/>
        <v>1+0.00972103315725566i</v>
      </c>
      <c r="AK129" s="32">
        <f t="shared" si="88"/>
        <v>1.0000472481266294</v>
      </c>
      <c r="AL129" s="32">
        <f t="shared" si="89"/>
        <v>9.7207269669787634E-3</v>
      </c>
      <c r="AM129" s="32" t="str">
        <f t="shared" si="73"/>
        <v>1+0.210217342025654i</v>
      </c>
      <c r="AN129" s="32">
        <f t="shared" si="90"/>
        <v>1.021856805471457</v>
      </c>
      <c r="AO129" s="32">
        <f t="shared" si="91"/>
        <v>0.20720034719562147</v>
      </c>
      <c r="AP129" s="61" t="str">
        <f t="shared" si="92"/>
        <v>-0.142029592122489+0.709837675431124i</v>
      </c>
      <c r="AQ129" s="52">
        <f t="shared" si="93"/>
        <v>-2.8063396214566749</v>
      </c>
      <c r="AR129" s="64">
        <f t="shared" si="94"/>
        <v>101.31474877894755</v>
      </c>
      <c r="AS129" s="61" t="str">
        <f t="shared" si="95"/>
        <v>32.9892623689605+59.8697586871955i</v>
      </c>
      <c r="AT129" s="67">
        <f t="shared" si="96"/>
        <v>36.6956598783879</v>
      </c>
      <c r="AU129" s="64">
        <f t="shared" si="97"/>
        <v>61.144483033327539</v>
      </c>
    </row>
    <row r="130" spans="14:47" x14ac:dyDescent="0.25">
      <c r="N130" s="11">
        <v>12</v>
      </c>
      <c r="O130" s="53">
        <f t="shared" si="98"/>
        <v>131.82567385564084</v>
      </c>
      <c r="P130" s="51" t="str">
        <f t="shared" si="65"/>
        <v>122.692307692308</v>
      </c>
      <c r="Q130" s="18" t="str">
        <f t="shared" si="66"/>
        <v>1+0.848992265505781i</v>
      </c>
      <c r="R130" s="18">
        <f t="shared" si="75"/>
        <v>1.3117880419064043</v>
      </c>
      <c r="S130" s="18">
        <f t="shared" si="76"/>
        <v>0.70390873143514543</v>
      </c>
      <c r="T130" s="18" t="str">
        <f t="shared" si="67"/>
        <v>1+0.000169798453101156i</v>
      </c>
      <c r="U130" s="18">
        <f t="shared" si="77"/>
        <v>1.0000000144157573</v>
      </c>
      <c r="V130" s="18">
        <f t="shared" si="78"/>
        <v>1.6979845146930715E-4</v>
      </c>
      <c r="W130" s="32" t="str">
        <f t="shared" si="68"/>
        <v>1-0.00804326476088931i</v>
      </c>
      <c r="X130" s="18">
        <f t="shared" si="79"/>
        <v>1.0000323465308578</v>
      </c>
      <c r="Y130" s="18">
        <f t="shared" si="80"/>
        <v>-8.0430913170086629E-3</v>
      </c>
      <c r="Z130" s="32" t="str">
        <f t="shared" si="69"/>
        <v>0.999999432554831+0.000858313659009983i</v>
      </c>
      <c r="AA130" s="18">
        <f t="shared" si="81"/>
        <v>0.99999980090614082</v>
      </c>
      <c r="AB130" s="18">
        <f t="shared" si="82"/>
        <v>8.5831393528204005E-4</v>
      </c>
      <c r="AC130" s="69" t="str">
        <f t="shared" si="83"/>
        <v>70.7711179170748-61.1554539894329i</v>
      </c>
      <c r="AD130" s="67">
        <f t="shared" si="84"/>
        <v>39.419356157890014</v>
      </c>
      <c r="AE130" s="64">
        <f t="shared" si="85"/>
        <v>-40.831283691696363</v>
      </c>
      <c r="AF130" s="32" t="str">
        <f t="shared" si="70"/>
        <v>-0.0000198412698412698</v>
      </c>
      <c r="AG130" s="32" t="str">
        <f t="shared" si="71"/>
        <v>0.0000286586657429269i</v>
      </c>
      <c r="AH130" s="32">
        <f t="shared" si="86"/>
        <v>2.8658665742926901E-5</v>
      </c>
      <c r="AI130" s="32">
        <f t="shared" si="87"/>
        <v>1.5707963267948966</v>
      </c>
      <c r="AJ130" s="32" t="str">
        <f t="shared" si="72"/>
        <v>1+0.00994746510754858i</v>
      </c>
      <c r="AK130" s="32">
        <f t="shared" si="88"/>
        <v>1.0000494748071547</v>
      </c>
      <c r="AL130" s="32">
        <f t="shared" si="89"/>
        <v>9.947137019632438E-3</v>
      </c>
      <c r="AM130" s="32" t="str">
        <f t="shared" si="73"/>
        <v>1+0.215113932950738i</v>
      </c>
      <c r="AN130" s="32">
        <f t="shared" si="90"/>
        <v>1.0228753610042305</v>
      </c>
      <c r="AO130" s="32">
        <f t="shared" si="91"/>
        <v>0.21188505656023437</v>
      </c>
      <c r="AP130" s="61" t="str">
        <f t="shared" si="92"/>
        <v>-0.142028959645431+0.693743378999756i</v>
      </c>
      <c r="AQ130" s="52">
        <f t="shared" si="93"/>
        <v>-2.9977054448113929</v>
      </c>
      <c r="AR130" s="64">
        <f t="shared" si="94"/>
        <v>101.57019051332892</v>
      </c>
      <c r="AS130" s="61" t="str">
        <f t="shared" si="95"/>
        <v>32.374643044187+57.7828399861448i</v>
      </c>
      <c r="AT130" s="67">
        <f t="shared" si="96"/>
        <v>36.42165071307862</v>
      </c>
      <c r="AU130" s="64">
        <f t="shared" si="97"/>
        <v>60.738906821632575</v>
      </c>
    </row>
    <row r="131" spans="14:47" x14ac:dyDescent="0.25">
      <c r="N131" s="11">
        <v>13</v>
      </c>
      <c r="O131" s="53">
        <f t="shared" si="98"/>
        <v>134.89628825916537</v>
      </c>
      <c r="P131" s="51" t="str">
        <f t="shared" si="65"/>
        <v>122.692307692308</v>
      </c>
      <c r="Q131" s="18" t="str">
        <f t="shared" si="66"/>
        <v>1+0.868767835792626i</v>
      </c>
      <c r="R131" s="18">
        <f t="shared" si="75"/>
        <v>1.324672620879515</v>
      </c>
      <c r="S131" s="18">
        <f t="shared" si="76"/>
        <v>0.71528935775614821</v>
      </c>
      <c r="T131" s="18" t="str">
        <f t="shared" si="67"/>
        <v>1+0.000173753567158525i</v>
      </c>
      <c r="U131" s="18">
        <f t="shared" si="77"/>
        <v>1.0000000150951509</v>
      </c>
      <c r="V131" s="18">
        <f t="shared" si="78"/>
        <v>1.7375356540996748E-4</v>
      </c>
      <c r="W131" s="32" t="str">
        <f t="shared" si="68"/>
        <v>1-0.00823061646487675i</v>
      </c>
      <c r="X131" s="18">
        <f t="shared" si="79"/>
        <v>1.0000338709500753</v>
      </c>
      <c r="Y131" s="18">
        <f t="shared" si="80"/>
        <v>-8.2304306167502277E-3</v>
      </c>
      <c r="Z131" s="32" t="str">
        <f t="shared" si="69"/>
        <v>0.999999405811965+0.000878306352443768i</v>
      </c>
      <c r="AA131" s="18">
        <f t="shared" si="81"/>
        <v>0.99999979152314422</v>
      </c>
      <c r="AB131" s="18">
        <f t="shared" si="82"/>
        <v>8.7830664847461052E-4</v>
      </c>
      <c r="AC131" s="69" t="str">
        <f t="shared" si="83"/>
        <v>69.3766402100905-61.3684701286499i</v>
      </c>
      <c r="AD131" s="67">
        <f t="shared" si="84"/>
        <v>39.334471635006558</v>
      </c>
      <c r="AE131" s="64">
        <f t="shared" si="85"/>
        <v>-41.494998186068095</v>
      </c>
      <c r="AF131" s="32" t="str">
        <f t="shared" si="70"/>
        <v>-0.0000198412698412698</v>
      </c>
      <c r="AG131" s="32" t="str">
        <f t="shared" si="71"/>
        <v>0.0000293262118228535i</v>
      </c>
      <c r="AH131" s="32">
        <f t="shared" si="86"/>
        <v>2.9326211822853501E-5</v>
      </c>
      <c r="AI131" s="32">
        <f t="shared" si="87"/>
        <v>1.5707963267948966</v>
      </c>
      <c r="AJ131" s="32" t="str">
        <f t="shared" si="72"/>
        <v>1+0.0101791713355118i</v>
      </c>
      <c r="AK131" s="32">
        <f t="shared" si="88"/>
        <v>1.0000518064225861</v>
      </c>
      <c r="AL131" s="32">
        <f t="shared" si="89"/>
        <v>1.0178819783959427E-2</v>
      </c>
      <c r="AM131" s="32" t="str">
        <f t="shared" si="73"/>
        <v>1+0.220124580130442i</v>
      </c>
      <c r="AN131" s="32">
        <f t="shared" si="90"/>
        <v>1.0239408336313205</v>
      </c>
      <c r="AO131" s="32">
        <f t="shared" si="91"/>
        <v>0.21666913068490726</v>
      </c>
      <c r="AP131" s="61" t="str">
        <f t="shared" si="92"/>
        <v>-0.142028297366685+0.678016913897602i</v>
      </c>
      <c r="AQ131" s="52">
        <f t="shared" si="93"/>
        <v>-3.1886827945682801</v>
      </c>
      <c r="AR131" s="64">
        <f t="shared" si="94"/>
        <v>101.83102332496848</v>
      </c>
      <c r="AS131" s="61" t="str">
        <f t="shared" si="95"/>
        <v>31.7554146411841+55.7545948162003i</v>
      </c>
      <c r="AT131" s="67">
        <f t="shared" si="96"/>
        <v>36.145788840438286</v>
      </c>
      <c r="AU131" s="64">
        <f t="shared" si="97"/>
        <v>60.336025138900439</v>
      </c>
    </row>
    <row r="132" spans="14:47" x14ac:dyDescent="0.25">
      <c r="N132" s="11">
        <v>14</v>
      </c>
      <c r="O132" s="53">
        <f t="shared" si="98"/>
        <v>138.0384264602886</v>
      </c>
      <c r="P132" s="51" t="str">
        <f t="shared" si="65"/>
        <v>122.692307692308</v>
      </c>
      <c r="Q132" s="18" t="str">
        <f t="shared" si="66"/>
        <v>1+0.889004038285512i</v>
      </c>
      <c r="R132" s="18">
        <f t="shared" si="75"/>
        <v>1.338031457062183</v>
      </c>
      <c r="S132" s="18">
        <f t="shared" si="76"/>
        <v>0.72670666183926047</v>
      </c>
      <c r="T132" s="18" t="str">
        <f t="shared" si="67"/>
        <v>1+0.000177800807657103i</v>
      </c>
      <c r="U132" s="18">
        <f t="shared" si="77"/>
        <v>1.0000000158065634</v>
      </c>
      <c r="V132" s="18">
        <f t="shared" si="78"/>
        <v>1.7780080578348986E-4</v>
      </c>
      <c r="W132" s="32" t="str">
        <f t="shared" si="68"/>
        <v>1-0.00842233215065898i</v>
      </c>
      <c r="X132" s="18">
        <f t="shared" si="79"/>
        <v>1.0000354672104665</v>
      </c>
      <c r="Y132" s="18">
        <f t="shared" si="80"/>
        <v>-8.4221330111850148E-3</v>
      </c>
      <c r="Z132" s="32" t="str">
        <f t="shared" si="69"/>
        <v>0.999999377808745+0.000898764735531378i</v>
      </c>
      <c r="AA132" s="18">
        <f t="shared" si="81"/>
        <v>0.99999978169793968</v>
      </c>
      <c r="AB132" s="18">
        <f t="shared" si="82"/>
        <v>8.9876505273414175E-4</v>
      </c>
      <c r="AC132" s="69" t="str">
        <f t="shared" si="83"/>
        <v>67.9731600963371-61.5502259420079i</v>
      </c>
      <c r="AD132" s="67">
        <f t="shared" si="84"/>
        <v>39.247330318052576</v>
      </c>
      <c r="AE132" s="64">
        <f t="shared" si="85"/>
        <v>-42.161085551999136</v>
      </c>
      <c r="AF132" s="32" t="str">
        <f t="shared" si="70"/>
        <v>-0.0000198412698412698</v>
      </c>
      <c r="AG132" s="32" t="str">
        <f t="shared" si="71"/>
        <v>0.000030009307048467i</v>
      </c>
      <c r="AH132" s="32">
        <f t="shared" si="86"/>
        <v>3.0009307048467002E-5</v>
      </c>
      <c r="AI132" s="32">
        <f t="shared" si="87"/>
        <v>1.5707963267948966</v>
      </c>
      <c r="AJ132" s="32" t="str">
        <f t="shared" si="72"/>
        <v>1+0.0104162746948543i</v>
      </c>
      <c r="AK132" s="32">
        <f t="shared" si="88"/>
        <v>1.0000542479178411</v>
      </c>
      <c r="AL132" s="32">
        <f t="shared" si="89"/>
        <v>1.0415898001682744E-2</v>
      </c>
      <c r="AM132" s="32" t="str">
        <f t="shared" si="73"/>
        <v>1+0.225251940276225i</v>
      </c>
      <c r="AN132" s="32">
        <f t="shared" si="90"/>
        <v>1.0250553334323977</v>
      </c>
      <c r="AO132" s="32">
        <f t="shared" si="91"/>
        <v>0.22155422978733511</v>
      </c>
      <c r="AP132" s="61" t="str">
        <f t="shared" si="92"/>
        <v>-0.142027603882324+0.662649941702277i</v>
      </c>
      <c r="AQ132" s="52">
        <f t="shared" si="93"/>
        <v>-3.3792550577502749</v>
      </c>
      <c r="AR132" s="64">
        <f t="shared" si="94"/>
        <v>102.09733530475076</v>
      </c>
      <c r="AS132" s="61" t="str">
        <f t="shared" si="95"/>
        <v>31.1321885754412+53.7842416841164i</v>
      </c>
      <c r="AT132" s="67">
        <f t="shared" si="96"/>
        <v>35.868075260302312</v>
      </c>
      <c r="AU132" s="64">
        <f t="shared" si="97"/>
        <v>59.936249752751614</v>
      </c>
    </row>
    <row r="133" spans="14:47" x14ac:dyDescent="0.25">
      <c r="N133" s="11">
        <v>15</v>
      </c>
      <c r="O133" s="53">
        <f t="shared" si="98"/>
        <v>141.25375446227542</v>
      </c>
      <c r="P133" s="51" t="str">
        <f t="shared" si="65"/>
        <v>122.692307692308</v>
      </c>
      <c r="Q133" s="18" t="str">
        <f t="shared" si="66"/>
        <v>1+0.909711602486855i</v>
      </c>
      <c r="R133" s="18">
        <f t="shared" si="75"/>
        <v>1.3518783967869306</v>
      </c>
      <c r="S133" s="18">
        <f t="shared" si="76"/>
        <v>0.73815479180556243</v>
      </c>
      <c r="T133" s="18" t="str">
        <f t="shared" si="67"/>
        <v>1+0.000181942320497371i</v>
      </c>
      <c r="U133" s="18">
        <f t="shared" si="77"/>
        <v>1.0000000165515037</v>
      </c>
      <c r="V133" s="18">
        <f t="shared" si="78"/>
        <v>1.8194231848975834E-4</v>
      </c>
      <c r="W133" s="32" t="str">
        <f t="shared" si="68"/>
        <v>1-0.00861851346843022i</v>
      </c>
      <c r="X133" s="18">
        <f t="shared" si="79"/>
        <v>1.0000371386975613</v>
      </c>
      <c r="Y133" s="18">
        <f t="shared" si="80"/>
        <v>-8.6183000870674181E-3</v>
      </c>
      <c r="Z133" s="32" t="str">
        <f t="shared" si="69"/>
        <v>0.999999348485775+0.000919699655578324i</v>
      </c>
      <c r="AA133" s="18">
        <f t="shared" si="81"/>
        <v>0.99999977140968932</v>
      </c>
      <c r="AB133" s="18">
        <f t="shared" si="82"/>
        <v>9.1969999546720937E-4</v>
      </c>
      <c r="AC133" s="69" t="str">
        <f t="shared" si="83"/>
        <v>66.5620914966153-61.700249403914i</v>
      </c>
      <c r="AD133" s="67">
        <f t="shared" si="84"/>
        <v>39.157918847415552</v>
      </c>
      <c r="AE133" s="64">
        <f t="shared" si="85"/>
        <v>-42.829216820577074</v>
      </c>
      <c r="AF133" s="32" t="str">
        <f t="shared" si="70"/>
        <v>-0.0000198412698412698</v>
      </c>
      <c r="AG133" s="32" t="str">
        <f t="shared" si="71"/>
        <v>0.0000307083136058977i</v>
      </c>
      <c r="AH133" s="32">
        <f t="shared" si="86"/>
        <v>3.0708313605897698E-5</v>
      </c>
      <c r="AI133" s="32">
        <f t="shared" si="87"/>
        <v>1.5707963267948966</v>
      </c>
      <c r="AJ133" s="32" t="str">
        <f t="shared" si="72"/>
        <v>1+0.0106589009009158i</v>
      </c>
      <c r="AK133" s="32">
        <f t="shared" si="88"/>
        <v>1.0000568044708338</v>
      </c>
      <c r="AL133" s="32">
        <f t="shared" si="89"/>
        <v>1.0658497268148572E-2</v>
      </c>
      <c r="AM133" s="32" t="str">
        <f t="shared" si="73"/>
        <v>1+0.230498731982304i</v>
      </c>
      <c r="AN133" s="32">
        <f t="shared" si="90"/>
        <v>1.0262210607103375</v>
      </c>
      <c r="AO133" s="32">
        <f t="shared" si="91"/>
        <v>0.22654201095570467</v>
      </c>
      <c r="AP133" s="61" t="str">
        <f t="shared" si="92"/>
        <v>-0.14202687772231+0.647634314596282i</v>
      </c>
      <c r="AQ133" s="52">
        <f t="shared" si="93"/>
        <v>-3.569404990143243</v>
      </c>
      <c r="AR133" s="64">
        <f t="shared" si="94"/>
        <v>102.3692142007517</v>
      </c>
      <c r="AS133" s="61" t="str">
        <f t="shared" si="95"/>
        <v>30.5055927031925+51.8709882820312i</v>
      </c>
      <c r="AT133" s="67">
        <f t="shared" si="96"/>
        <v>35.588513857272311</v>
      </c>
      <c r="AU133" s="64">
        <f t="shared" si="97"/>
        <v>59.539997380174654</v>
      </c>
    </row>
    <row r="134" spans="14:47" x14ac:dyDescent="0.25">
      <c r="N134" s="11">
        <v>16</v>
      </c>
      <c r="O134" s="53">
        <f t="shared" si="98"/>
        <v>144.54397707459285</v>
      </c>
      <c r="P134" s="51" t="str">
        <f t="shared" si="65"/>
        <v>122.692307692308</v>
      </c>
      <c r="Q134" s="18" t="str">
        <f t="shared" si="66"/>
        <v>1+0.930901507821295i</v>
      </c>
      <c r="R134" s="18">
        <f t="shared" si="75"/>
        <v>1.3662275129948016</v>
      </c>
      <c r="S134" s="18">
        <f t="shared" si="76"/>
        <v>0.74962781547030821</v>
      </c>
      <c r="T134" s="18" t="str">
        <f t="shared" si="67"/>
        <v>1+0.000186180301564259i</v>
      </c>
      <c r="U134" s="18">
        <f t="shared" si="77"/>
        <v>1.0000000173315522</v>
      </c>
      <c r="V134" s="18">
        <f t="shared" si="78"/>
        <v>1.8618029941306328E-4</v>
      </c>
      <c r="W134" s="32" t="str">
        <f t="shared" si="68"/>
        <v>1-0.00881926443612195i</v>
      </c>
      <c r="X134" s="18">
        <f t="shared" si="79"/>
        <v>1.0000388889564216</v>
      </c>
      <c r="Y134" s="18">
        <f t="shared" si="80"/>
        <v>-8.819035794352538E-3</v>
      </c>
      <c r="Z134" s="32" t="str">
        <f t="shared" si="69"/>
        <v>0.999999317780855+0.000941122212556323i</v>
      </c>
      <c r="AA134" s="18">
        <f t="shared" si="81"/>
        <v>0.99999976063656859</v>
      </c>
      <c r="AB134" s="18">
        <f t="shared" si="82"/>
        <v>9.4112257675382652E-4</v>
      </c>
      <c r="AC134" s="69" t="str">
        <f t="shared" si="83"/>
        <v>65.1448798211539-61.8181483527312i</v>
      </c>
      <c r="AD134" s="67">
        <f t="shared" si="84"/>
        <v>39.066226172388113</v>
      </c>
      <c r="AE134" s="64">
        <f t="shared" si="85"/>
        <v>-43.49905856871915</v>
      </c>
      <c r="AF134" s="32" t="str">
        <f t="shared" si="70"/>
        <v>-0.0000198412698412698</v>
      </c>
      <c r="AG134" s="32" t="str">
        <f t="shared" si="71"/>
        <v>0.0000314236021176749i</v>
      </c>
      <c r="AH134" s="32">
        <f t="shared" si="86"/>
        <v>3.14236021176749E-5</v>
      </c>
      <c r="AI134" s="32">
        <f t="shared" si="87"/>
        <v>1.5707963267948966</v>
      </c>
      <c r="AJ134" s="32" t="str">
        <f t="shared" si="72"/>
        <v>1+0.0109071785973221i</v>
      </c>
      <c r="AK134" s="32">
        <f t="shared" si="88"/>
        <v>1.0000594815034523</v>
      </c>
      <c r="AL134" s="32">
        <f t="shared" si="89"/>
        <v>1.0906746098409114E-2</v>
      </c>
      <c r="AM134" s="32" t="str">
        <f t="shared" si="73"/>
        <v>1+0.235867737167091i</v>
      </c>
      <c r="AN134" s="32">
        <f t="shared" si="90"/>
        <v>1.0274403094274256</v>
      </c>
      <c r="AO134" s="32">
        <f t="shared" si="91"/>
        <v>0.2316341256442884</v>
      </c>
      <c r="AP134" s="61" t="str">
        <f t="shared" si="92"/>
        <v>-0.142026117347387+0.632962071046675i</v>
      </c>
      <c r="AQ134" s="52">
        <f t="shared" si="93"/>
        <v>-3.759114699547073</v>
      </c>
      <c r="AR134" s="64">
        <f t="shared" si="94"/>
        <v>102.64674727096114</v>
      </c>
      <c r="AS134" s="61" t="str">
        <f t="shared" si="95"/>
        <v>29.8762688635547+50.0140296418275i</v>
      </c>
      <c r="AT134" s="67">
        <f t="shared" si="96"/>
        <v>35.307111472841044</v>
      </c>
      <c r="AU134" s="64">
        <f t="shared" si="97"/>
        <v>59.147688702242014</v>
      </c>
    </row>
    <row r="135" spans="14:47" x14ac:dyDescent="0.25">
      <c r="N135" s="11">
        <v>17</v>
      </c>
      <c r="O135" s="53">
        <f t="shared" si="98"/>
        <v>147.91083881682084</v>
      </c>
      <c r="P135" s="51" t="str">
        <f t="shared" si="65"/>
        <v>122.692307692308</v>
      </c>
      <c r="Q135" s="18" t="str">
        <f t="shared" si="66"/>
        <v>1+0.952584989457118i</v>
      </c>
      <c r="R135" s="18">
        <f t="shared" si="75"/>
        <v>1.3810931040806111</v>
      </c>
      <c r="S135" s="18">
        <f t="shared" si="76"/>
        <v>0.76111973541668143</v>
      </c>
      <c r="T135" s="18" t="str">
        <f t="shared" si="67"/>
        <v>1+0.000190516997891424i</v>
      </c>
      <c r="U135" s="18">
        <f t="shared" si="77"/>
        <v>1.000000018148363</v>
      </c>
      <c r="V135" s="18">
        <f t="shared" si="78"/>
        <v>1.9051699558637628E-4</v>
      </c>
      <c r="W135" s="32" t="str">
        <f t="shared" si="68"/>
        <v>1-0.00902469149455446i</v>
      </c>
      <c r="X135" s="18">
        <f t="shared" si="79"/>
        <v>1.0000407216991576</v>
      </c>
      <c r="Y135" s="18">
        <f t="shared" si="80"/>
        <v>-9.0244465010233497E-3</v>
      </c>
      <c r="Z135" s="32" t="str">
        <f t="shared" si="69"/>
        <v>0.999999285628858+0.000963043764988644i</v>
      </c>
      <c r="AA135" s="18">
        <f t="shared" si="81"/>
        <v>0.99999974935572844</v>
      </c>
      <c r="AB135" s="18">
        <f t="shared" si="82"/>
        <v>9.630441552333001E-4</v>
      </c>
      <c r="AC135" s="69" t="str">
        <f t="shared" si="83"/>
        <v>63.7229961593319-61.9036129735305i</v>
      </c>
      <c r="AD135" s="67">
        <f t="shared" si="84"/>
        <v>38.972243597387937</v>
      </c>
      <c r="AE135" s="64">
        <f t="shared" si="85"/>
        <v>-44.170273786246987</v>
      </c>
      <c r="AF135" s="32" t="str">
        <f t="shared" si="70"/>
        <v>-0.0000198412698412698</v>
      </c>
      <c r="AG135" s="32" t="str">
        <f t="shared" si="71"/>
        <v>0.0000321555518392354i</v>
      </c>
      <c r="AH135" s="32">
        <f t="shared" si="86"/>
        <v>3.2155551839235399E-5</v>
      </c>
      <c r="AI135" s="32">
        <f t="shared" si="87"/>
        <v>1.5707963267948966</v>
      </c>
      <c r="AJ135" s="32" t="str">
        <f t="shared" si="72"/>
        <v>1+0.0111612394241944i</v>
      </c>
      <c r="AK135" s="32">
        <f t="shared" si="88"/>
        <v>1.0000622846930507</v>
      </c>
      <c r="AL135" s="32">
        <f t="shared" si="89"/>
        <v>1.1160775994818479E-2</v>
      </c>
      <c r="AM135" s="32" t="str">
        <f t="shared" si="73"/>
        <v>1+0.241361802548203i</v>
      </c>
      <c r="AN135" s="32">
        <f t="shared" si="90"/>
        <v>1.0287154707348956</v>
      </c>
      <c r="AO135" s="32">
        <f t="shared" si="91"/>
        <v>0.23683221699662979</v>
      </c>
      <c r="AP135" s="61" t="str">
        <f t="shared" si="92"/>
        <v>-0.142025321145824+0.618625431583546i</v>
      </c>
      <c r="AQ135" s="52">
        <f t="shared" si="93"/>
        <v>-3.9483656292709086</v>
      </c>
      <c r="AR135" s="64">
        <f t="shared" si="94"/>
        <v>102.93002112603934</v>
      </c>
      <c r="AS135" s="61" t="str">
        <f t="shared" si="95"/>
        <v>29.2448702984279+48.2125465135158i</v>
      </c>
      <c r="AT135" s="67">
        <f t="shared" si="96"/>
        <v>35.023877968117027</v>
      </c>
      <c r="AU135" s="64">
        <f t="shared" si="97"/>
        <v>58.75974733979232</v>
      </c>
    </row>
    <row r="136" spans="14:47" x14ac:dyDescent="0.25">
      <c r="N136" s="11">
        <v>18</v>
      </c>
      <c r="O136" s="53">
        <f t="shared" si="98"/>
        <v>151.3561248436209</v>
      </c>
      <c r="P136" s="51" t="str">
        <f t="shared" si="65"/>
        <v>122.692307692308</v>
      </c>
      <c r="Q136" s="18" t="str">
        <f t="shared" si="66"/>
        <v>1+0.974773544263305i</v>
      </c>
      <c r="R136" s="18">
        <f t="shared" si="75"/>
        <v>1.3964896929786648</v>
      </c>
      <c r="S136" s="18">
        <f t="shared" si="76"/>
        <v>0.77262450448414544</v>
      </c>
      <c r="T136" s="18" t="str">
        <f t="shared" si="67"/>
        <v>1+0.000194954708852661i</v>
      </c>
      <c r="U136" s="18">
        <f t="shared" si="77"/>
        <v>1.0000000190036691</v>
      </c>
      <c r="V136" s="18">
        <f t="shared" si="78"/>
        <v>1.9495470638275785E-4</v>
      </c>
      <c r="W136" s="32" t="str">
        <f t="shared" si="68"/>
        <v>1-0.00923490356387331i</v>
      </c>
      <c r="X136" s="18">
        <f t="shared" si="79"/>
        <v>1.0000426408127976</v>
      </c>
      <c r="Y136" s="18">
        <f t="shared" si="80"/>
        <v>-9.2346410491796066E-3</v>
      </c>
      <c r="Z136" s="32" t="str">
        <f t="shared" si="69"/>
        <v>0.999999251961583+0.000985475935972552i</v>
      </c>
      <c r="AA136" s="18">
        <f t="shared" si="81"/>
        <v>0.99999973754323856</v>
      </c>
      <c r="AB136" s="18">
        <f t="shared" si="82"/>
        <v>9.854763541272361E-4</v>
      </c>
      <c r="AC136" s="69" t="str">
        <f t="shared" si="83"/>
        <v>62.2979312426598-61.9564177745597i</v>
      </c>
      <c r="AD136" s="67">
        <f t="shared" si="84"/>
        <v>38.875964818616325</v>
      </c>
      <c r="AE136" s="64">
        <f t="shared" si="85"/>
        <v>-44.842522766793834</v>
      </c>
      <c r="AF136" s="32" t="str">
        <f t="shared" si="70"/>
        <v>-0.0000198412698412698</v>
      </c>
      <c r="AG136" s="32" t="str">
        <f t="shared" si="71"/>
        <v>0.0000329045508600101i</v>
      </c>
      <c r="AH136" s="32">
        <f t="shared" si="86"/>
        <v>3.2904550860010102E-5</v>
      </c>
      <c r="AI136" s="32">
        <f t="shared" si="87"/>
        <v>1.5707963267948966</v>
      </c>
      <c r="AJ136" s="32" t="str">
        <f t="shared" si="72"/>
        <v>1+0.0114212180879458i</v>
      </c>
      <c r="AK136" s="32">
        <f t="shared" si="88"/>
        <v>1.0000652199844831</v>
      </c>
      <c r="AL136" s="32">
        <f t="shared" si="89"/>
        <v>1.1420721516171916E-2</v>
      </c>
      <c r="AM136" s="32" t="str">
        <f t="shared" si="73"/>
        <v>1+0.246983841151827i</v>
      </c>
      <c r="AN136" s="32">
        <f t="shared" si="90"/>
        <v>1.0300490365949142</v>
      </c>
      <c r="AO136" s="32">
        <f t="shared" si="91"/>
        <v>0.2421379169901465</v>
      </c>
      <c r="AP136" s="61" t="str">
        <f t="shared" si="92"/>
        <v>-0.142024487430006+0.604616794674981i</v>
      </c>
      <c r="AQ136" s="52">
        <f t="shared" si="93"/>
        <v>-4.1371385419561406</v>
      </c>
      <c r="AR136" s="64">
        <f t="shared" si="94"/>
        <v>103.21912156175357</v>
      </c>
      <c r="AS136" s="61" t="str">
        <f t="shared" si="95"/>
        <v>28.6120589717098+46.4657039802505i</v>
      </c>
      <c r="AT136" s="67">
        <f t="shared" si="96"/>
        <v>34.738826276660184</v>
      </c>
      <c r="AU136" s="64">
        <f t="shared" si="97"/>
        <v>58.376598794959733</v>
      </c>
    </row>
    <row r="137" spans="14:47" x14ac:dyDescent="0.25">
      <c r="N137" s="11">
        <v>19</v>
      </c>
      <c r="O137" s="53">
        <f t="shared" si="98"/>
        <v>154.8816618912482</v>
      </c>
      <c r="P137" s="51" t="str">
        <f t="shared" si="65"/>
        <v>122.692307692308</v>
      </c>
      <c r="Q137" s="18" t="str">
        <f t="shared" si="66"/>
        <v>1+0.997478936905313i</v>
      </c>
      <c r="R137" s="18">
        <f t="shared" si="75"/>
        <v>1.4124320265307473</v>
      </c>
      <c r="S137" s="18">
        <f t="shared" si="76"/>
        <v>0.78413604157505301</v>
      </c>
      <c r="T137" s="18" t="str">
        <f t="shared" si="67"/>
        <v>1+0.000199495787381063i</v>
      </c>
      <c r="U137" s="18">
        <f t="shared" si="77"/>
        <v>1.0000000198992844</v>
      </c>
      <c r="V137" s="18">
        <f t="shared" si="78"/>
        <v>1.9949578473451408E-4</v>
      </c>
      <c r="W137" s="32" t="str">
        <f t="shared" si="68"/>
        <v>1-0.00945001210130011i</v>
      </c>
      <c r="X137" s="18">
        <f t="shared" si="79"/>
        <v>1.0000446503675298</v>
      </c>
      <c r="Y137" s="18">
        <f t="shared" si="80"/>
        <v>-9.4497308124161968E-3</v>
      </c>
      <c r="Z137" s="32" t="str">
        <f t="shared" si="69"/>
        <v>0.999999216707618+0.00100843061934203i</v>
      </c>
      <c r="AA137" s="18">
        <f t="shared" si="81"/>
        <v>0.99999972517404401</v>
      </c>
      <c r="AB137" s="18">
        <f t="shared" si="82"/>
        <v>1.008431067402848E-3</v>
      </c>
      <c r="AC137" s="69" t="str">
        <f t="shared" si="83"/>
        <v>60.8711892329644-61.9764230340806i</v>
      </c>
      <c r="AD137" s="67">
        <f t="shared" si="84"/>
        <v>38.777385950830812</v>
      </c>
      <c r="AE137" s="64">
        <f t="shared" si="85"/>
        <v>-45.515464017027668</v>
      </c>
      <c r="AF137" s="32" t="str">
        <f t="shared" si="70"/>
        <v>-0.0000198412698412698</v>
      </c>
      <c r="AG137" s="32" t="str">
        <f t="shared" si="71"/>
        <v>0.000033670996309194i</v>
      </c>
      <c r="AH137" s="32">
        <f t="shared" si="86"/>
        <v>3.3670996309194001E-5</v>
      </c>
      <c r="AI137" s="32">
        <f t="shared" si="87"/>
        <v>1.5707963267948966</v>
      </c>
      <c r="AJ137" s="32" t="str">
        <f t="shared" si="72"/>
        <v>1+0.0116872524327051i</v>
      </c>
      <c r="AK137" s="32">
        <f t="shared" si="88"/>
        <v>1.0000682936027048</v>
      </c>
      <c r="AL137" s="32">
        <f t="shared" si="89"/>
        <v>1.1686720348425373E-2</v>
      </c>
      <c r="AM137" s="32" t="str">
        <f t="shared" si="73"/>
        <v>1+0.252736833857248i</v>
      </c>
      <c r="AN137" s="32">
        <f t="shared" si="90"/>
        <v>1.0314436034937569</v>
      </c>
      <c r="AO137" s="32">
        <f t="shared" si="91"/>
        <v>0.24755284339622324</v>
      </c>
      <c r="AP137" s="61" t="str">
        <f t="shared" si="92"/>
        <v>-0.142023614432863+0.590928732696366i</v>
      </c>
      <c r="AQ137" s="52">
        <f t="shared" si="93"/>
        <v>-4.3254135038169048</v>
      </c>
      <c r="AR137" s="64">
        <f t="shared" si="94"/>
        <v>103.51413338075216</v>
      </c>
      <c r="AS137" s="61" t="str">
        <f t="shared" si="95"/>
        <v>27.9785028108907+44.7726503200766i</v>
      </c>
      <c r="AT137" s="67">
        <f t="shared" si="96"/>
        <v>34.451972447013908</v>
      </c>
      <c r="AU137" s="64">
        <f t="shared" si="97"/>
        <v>57.998669363724531</v>
      </c>
    </row>
    <row r="138" spans="14:47" x14ac:dyDescent="0.25">
      <c r="N138" s="11">
        <v>20</v>
      </c>
      <c r="O138" s="53">
        <f t="shared" si="98"/>
        <v>158.48931924611153</v>
      </c>
      <c r="P138" s="51" t="str">
        <f t="shared" si="65"/>
        <v>122.692307692308</v>
      </c>
      <c r="Q138" s="18" t="str">
        <f t="shared" si="66"/>
        <v>1+1.02071320608286i</v>
      </c>
      <c r="R138" s="18">
        <f t="shared" si="75"/>
        <v>1.4289350751772982</v>
      </c>
      <c r="S138" s="18">
        <f t="shared" si="76"/>
        <v>0.79564824767945419</v>
      </c>
      <c r="T138" s="18" t="str">
        <f t="shared" si="67"/>
        <v>1+0.000204142641216573i</v>
      </c>
      <c r="U138" s="18">
        <f t="shared" si="77"/>
        <v>1.0000000208371087</v>
      </c>
      <c r="V138" s="18">
        <f t="shared" si="78"/>
        <v>2.0414263838074476E-4</v>
      </c>
      <c r="W138" s="32" t="str">
        <f t="shared" si="68"/>
        <v>1-0.00967013116022874i</v>
      </c>
      <c r="X138" s="18">
        <f t="shared" si="79"/>
        <v>1.0000467546253304</v>
      </c>
      <c r="Y138" s="18">
        <f t="shared" si="80"/>
        <v>-9.6698297545203399E-3</v>
      </c>
      <c r="Z138" s="32" t="str">
        <f t="shared" si="69"/>
        <v>0.999999179792186+0.00103191998597404i</v>
      </c>
      <c r="AA138" s="18">
        <f t="shared" si="81"/>
        <v>0.99999971222190975</v>
      </c>
      <c r="AB138" s="18">
        <f t="shared" si="82"/>
        <v>1.031920466079857E-3</v>
      </c>
      <c r="AC138" s="69" t="str">
        <f t="shared" si="83"/>
        <v>59.444281390389-61.9635757003627i</v>
      </c>
      <c r="AD138" s="67">
        <f t="shared" si="84"/>
        <v>38.676505543994772</v>
      </c>
      <c r="AE138" s="64">
        <f t="shared" si="85"/>
        <v>-46.188755178458173</v>
      </c>
      <c r="AF138" s="32" t="str">
        <f t="shared" si="70"/>
        <v>-0.0000198412698412698</v>
      </c>
      <c r="AG138" s="32" t="str">
        <f t="shared" si="71"/>
        <v>0.0000344552945663094i</v>
      </c>
      <c r="AH138" s="32">
        <f t="shared" si="86"/>
        <v>3.4455294566309402E-5</v>
      </c>
      <c r="AI138" s="32">
        <f t="shared" si="87"/>
        <v>1.5707963267948966</v>
      </c>
      <c r="AJ138" s="32" t="str">
        <f t="shared" si="72"/>
        <v>1+0.0119594835134033i</v>
      </c>
      <c r="AK138" s="32">
        <f t="shared" si="88"/>
        <v>1.0000715120659658</v>
      </c>
      <c r="AL138" s="32">
        <f t="shared" si="89"/>
        <v>1.1958913377027418E-2</v>
      </c>
      <c r="AM138" s="32" t="str">
        <f t="shared" si="73"/>
        <v>1+0.258623830977347i</v>
      </c>
      <c r="AN138" s="32">
        <f t="shared" si="90"/>
        <v>1.0329018762444955</v>
      </c>
      <c r="AO138" s="32">
        <f t="shared" si="91"/>
        <v>0.25307859655015486</v>
      </c>
      <c r="AP138" s="61" t="str">
        <f t="shared" si="92"/>
        <v>-0.142022700304134+0.577553987991874i</v>
      </c>
      <c r="AQ138" s="52">
        <f t="shared" si="93"/>
        <v>-4.5131698693959263</v>
      </c>
      <c r="AR138" s="64">
        <f t="shared" si="94"/>
        <v>103.81514020335175</v>
      </c>
      <c r="AS138" s="61" t="str">
        <f t="shared" si="95"/>
        <v>27.344872895279+43.1325161217954i</v>
      </c>
      <c r="AT138" s="67">
        <f t="shared" si="96"/>
        <v>34.163335674598834</v>
      </c>
      <c r="AU138" s="64">
        <f t="shared" si="97"/>
        <v>57.626385024893587</v>
      </c>
    </row>
    <row r="139" spans="14:47" x14ac:dyDescent="0.25">
      <c r="N139" s="11">
        <v>21</v>
      </c>
      <c r="O139" s="53">
        <f t="shared" si="98"/>
        <v>162.18100973589304</v>
      </c>
      <c r="P139" s="51" t="str">
        <f t="shared" si="65"/>
        <v>122.692307692308</v>
      </c>
      <c r="Q139" s="18" t="str">
        <f t="shared" si="66"/>
        <v>1+1.04448867091301i</v>
      </c>
      <c r="R139" s="18">
        <f t="shared" si="75"/>
        <v>1.4460140330113072</v>
      </c>
      <c r="S139" s="18">
        <f t="shared" si="76"/>
        <v>0.80715502201541389</v>
      </c>
      <c r="T139" s="18" t="str">
        <f t="shared" si="67"/>
        <v>1+0.000208897734182603i</v>
      </c>
      <c r="U139" s="18">
        <f t="shared" si="77"/>
        <v>1.0000000218191314</v>
      </c>
      <c r="V139" s="18">
        <f t="shared" si="78"/>
        <v>2.088977311439583E-4</v>
      </c>
      <c r="W139" s="32" t="str">
        <f t="shared" si="68"/>
        <v>1-0.00989537745069779i</v>
      </c>
      <c r="X139" s="18">
        <f t="shared" si="79"/>
        <v>1.0000489580490006</v>
      </c>
      <c r="Y139" s="18">
        <f t="shared" si="80"/>
        <v>-9.8950544895164486E-3</v>
      </c>
      <c r="Z139" s="32" t="str">
        <f t="shared" si="69"/>
        <v>0.999999141136982+0.00105595649024169i</v>
      </c>
      <c r="AA139" s="18">
        <f t="shared" si="81"/>
        <v>0.99999969865936011</v>
      </c>
      <c r="AB139" s="18">
        <f t="shared" si="82"/>
        <v>1.0559570046843436E-3</v>
      </c>
      <c r="AC139" s="69" t="str">
        <f t="shared" si="83"/>
        <v>58.0187196776454-61.9179097340555i</v>
      </c>
      <c r="AD139" s="67">
        <f t="shared" si="84"/>
        <v>38.573324589653964</v>
      </c>
      <c r="AE139" s="64">
        <f t="shared" si="85"/>
        <v>-46.862053955944837</v>
      </c>
      <c r="AF139" s="32" t="str">
        <f t="shared" si="70"/>
        <v>-0.0000198412698412698</v>
      </c>
      <c r="AG139" s="32" t="str">
        <f t="shared" si="71"/>
        <v>0.0000352578614766735i</v>
      </c>
      <c r="AH139" s="32">
        <f t="shared" si="86"/>
        <v>3.5257861476673497E-5</v>
      </c>
      <c r="AI139" s="32">
        <f t="shared" si="87"/>
        <v>1.5707963267948966</v>
      </c>
      <c r="AJ139" s="32" t="str">
        <f t="shared" si="72"/>
        <v>1+0.0122380556705628i</v>
      </c>
      <c r="AK139" s="32">
        <f t="shared" si="88"/>
        <v>1.0000748821996259</v>
      </c>
      <c r="AL139" s="32">
        <f t="shared" si="89"/>
        <v>1.2237444760899926E-2</v>
      </c>
      <c r="AM139" s="32" t="str">
        <f t="shared" si="73"/>
        <v>1+0.264647953875921i</v>
      </c>
      <c r="AN139" s="32">
        <f t="shared" si="90"/>
        <v>1.0344266718770894</v>
      </c>
      <c r="AO139" s="32">
        <f t="shared" si="91"/>
        <v>0.25871675592570936</v>
      </c>
      <c r="AP139" s="61" t="str">
        <f t="shared" si="92"/>
        <v>-0.142021743106459+0.564485469026064i</v>
      </c>
      <c r="AQ139" s="52">
        <f t="shared" si="93"/>
        <v>-4.7003862669410044</v>
      </c>
      <c r="AR139" s="64">
        <f t="shared" si="94"/>
        <v>104.12222426703535</v>
      </c>
      <c r="AS139" s="61" t="str">
        <f t="shared" si="95"/>
        <v>26.7118406159176+41.5444136594663i</v>
      </c>
      <c r="AT139" s="67">
        <f t="shared" si="96"/>
        <v>33.872938322712955</v>
      </c>
      <c r="AU139" s="64">
        <f t="shared" si="97"/>
        <v>57.260170311090498</v>
      </c>
    </row>
    <row r="140" spans="14:47" x14ac:dyDescent="0.25">
      <c r="N140" s="11">
        <v>22</v>
      </c>
      <c r="O140" s="53">
        <f t="shared" si="98"/>
        <v>165.95869074375622</v>
      </c>
      <c r="P140" s="51" t="str">
        <f t="shared" si="65"/>
        <v>122.692307692308</v>
      </c>
      <c r="Q140" s="18" t="str">
        <f t="shared" si="66"/>
        <v>1+1.06881793746193i</v>
      </c>
      <c r="R140" s="18">
        <f t="shared" si="75"/>
        <v>1.4636843182327173</v>
      </c>
      <c r="S140" s="18">
        <f t="shared" si="76"/>
        <v>0.81865027818076419</v>
      </c>
      <c r="T140" s="18" t="str">
        <f t="shared" si="67"/>
        <v>1+0.000213763587492386i</v>
      </c>
      <c r="U140" s="18">
        <f t="shared" si="77"/>
        <v>1.0000000228474355</v>
      </c>
      <c r="V140" s="18">
        <f t="shared" si="78"/>
        <v>2.1376358423641953E-4</v>
      </c>
      <c r="W140" s="32" t="str">
        <f t="shared" si="68"/>
        <v>1-0.0101258704012721i</v>
      </c>
      <c r="X140" s="18">
        <f t="shared" si="79"/>
        <v>1.0000512653116256</v>
      </c>
      <c r="Y140" s="18">
        <f t="shared" si="80"/>
        <v>-1.0125524343089555E-2</v>
      </c>
      <c r="Z140" s="32" t="str">
        <f t="shared" si="69"/>
        <v>0.999999100660015+0.0010805528766177i</v>
      </c>
      <c r="AA140" s="18">
        <f t="shared" si="81"/>
        <v>0.99999968445762932</v>
      </c>
      <c r="AB140" s="18">
        <f t="shared" si="82"/>
        <v>1.0805534278529362E-3</v>
      </c>
      <c r="AC140" s="69" t="str">
        <f t="shared" si="83"/>
        <v>56.5960103579486-61.8395458888436i</v>
      </c>
      <c r="AD140" s="67">
        <f t="shared" si="84"/>
        <v>38.46784651698492</v>
      </c>
      <c r="AE140" s="64">
        <f t="shared" si="85"/>
        <v>-47.535019046948605</v>
      </c>
      <c r="AF140" s="32" t="str">
        <f t="shared" si="70"/>
        <v>-0.0000198412698412698</v>
      </c>
      <c r="AG140" s="32" t="str">
        <f t="shared" si="71"/>
        <v>0.0000360791225718856i</v>
      </c>
      <c r="AH140" s="32">
        <f t="shared" si="86"/>
        <v>3.6079122571885602E-5</v>
      </c>
      <c r="AI140" s="32">
        <f t="shared" si="87"/>
        <v>1.5707963267948966</v>
      </c>
      <c r="AJ140" s="32" t="str">
        <f t="shared" si="72"/>
        <v>1+0.0125231166068287i</v>
      </c>
      <c r="AK140" s="32">
        <f t="shared" si="88"/>
        <v>1.0000784111506198</v>
      </c>
      <c r="AL140" s="32">
        <f t="shared" si="89"/>
        <v>1.2522462008103098E-2</v>
      </c>
      <c r="AM140" s="32" t="str">
        <f t="shared" si="73"/>
        <v>1+0.270812396622671i</v>
      </c>
      <c r="AN140" s="32">
        <f t="shared" si="90"/>
        <v>1.0360209236132805</v>
      </c>
      <c r="AO140" s="32">
        <f t="shared" si="91"/>
        <v>0.264468876509525</v>
      </c>
      <c r="AP140" s="61" t="str">
        <f t="shared" si="92"/>
        <v>-0.142020740811276+0.551716246623509i</v>
      </c>
      <c r="AQ140" s="52">
        <f t="shared" si="93"/>
        <v>-4.887040584516452</v>
      </c>
      <c r="AR140" s="64">
        <f t="shared" si="94"/>
        <v>104.43546621438514</v>
      </c>
      <c r="AS140" s="61" t="str">
        <f t="shared" si="95"/>
        <v>26.0800748326965+40.0074365271191i</v>
      </c>
      <c r="AT140" s="67">
        <f t="shared" si="96"/>
        <v>33.580805932468465</v>
      </c>
      <c r="AU140" s="64">
        <f t="shared" si="97"/>
        <v>56.900447167436567</v>
      </c>
    </row>
    <row r="141" spans="14:47" x14ac:dyDescent="0.25">
      <c r="N141" s="11">
        <v>23</v>
      </c>
      <c r="O141" s="53">
        <f t="shared" si="98"/>
        <v>169.82436524617444</v>
      </c>
      <c r="P141" s="51" t="str">
        <f t="shared" si="65"/>
        <v>122.692307692308</v>
      </c>
      <c r="Q141" s="18" t="str">
        <f t="shared" si="66"/>
        <v>1+1.09371390542876i</v>
      </c>
      <c r="R141" s="18">
        <f t="shared" si="75"/>
        <v>1.4819615740390268</v>
      </c>
      <c r="S141" s="18">
        <f t="shared" si="76"/>
        <v>0.83012796021207635</v>
      </c>
      <c r="T141" s="18" t="str">
        <f t="shared" si="67"/>
        <v>1+0.000218742781085752i</v>
      </c>
      <c r="U141" s="18">
        <f t="shared" si="77"/>
        <v>1.000000023924202</v>
      </c>
      <c r="V141" s="18">
        <f t="shared" si="78"/>
        <v>2.1874277759692109E-4</v>
      </c>
      <c r="W141" s="32" t="str">
        <f t="shared" si="68"/>
        <v>1-0.0103617322223648i</v>
      </c>
      <c r="X141" s="18">
        <f t="shared" si="79"/>
        <v>1.0000536813064826</v>
      </c>
      <c r="Y141" s="18">
        <f t="shared" si="80"/>
        <v>-1.0361361415416475E-2</v>
      </c>
      <c r="Z141" s="32" t="str">
        <f t="shared" si="69"/>
        <v>0.999999058275428+0.0011057221864317i</v>
      </c>
      <c r="AA141" s="18">
        <f t="shared" si="81"/>
        <v>0.99999966958659359</v>
      </c>
      <c r="AB141" s="18">
        <f t="shared" si="82"/>
        <v>1.1057227770908981E-3</v>
      </c>
      <c r="AC141" s="69" t="str">
        <f t="shared" si="83"/>
        <v>55.1776476441657-61.7286909330125i</v>
      </c>
      <c r="AD141" s="67">
        <f t="shared" si="84"/>
        <v>38.360077178551776</v>
      </c>
      <c r="AE141" s="64">
        <f t="shared" si="85"/>
        <v>-48.207311065552425</v>
      </c>
      <c r="AF141" s="32" t="str">
        <f t="shared" si="70"/>
        <v>-0.0000198412698412698</v>
      </c>
      <c r="AG141" s="32" t="str">
        <f t="shared" si="71"/>
        <v>0.0000369195132954489i</v>
      </c>
      <c r="AH141" s="32">
        <f t="shared" si="86"/>
        <v>3.69195132954489E-5</v>
      </c>
      <c r="AI141" s="32">
        <f t="shared" si="87"/>
        <v>1.5707963267948966</v>
      </c>
      <c r="AJ141" s="32" t="str">
        <f t="shared" si="72"/>
        <v>1+0.0128148174652825i</v>
      </c>
      <c r="AK141" s="32">
        <f t="shared" si="88"/>
        <v>1.0000821064026035</v>
      </c>
      <c r="AL141" s="32">
        <f t="shared" si="89"/>
        <v>1.2814116053220949E-2</v>
      </c>
      <c r="AM141" s="32" t="str">
        <f t="shared" si="73"/>
        <v>1+0.277120427686734i</v>
      </c>
      <c r="AN141" s="32">
        <f t="shared" si="90"/>
        <v>1.037687684923204</v>
      </c>
      <c r="AO141" s="32">
        <f t="shared" si="91"/>
        <v>0.27033648497112711</v>
      </c>
      <c r="AP141" s="61" t="str">
        <f t="shared" si="92"/>
        <v>-0.142019691294538+0.539239550294521i</v>
      </c>
      <c r="AQ141" s="52">
        <f t="shared" si="93"/>
        <v>-5.0731099569703275</v>
      </c>
      <c r="AR141" s="64">
        <f t="shared" si="94"/>
        <v>104.75494486920701</v>
      </c>
      <c r="AS141" s="61" t="str">
        <f t="shared" si="95"/>
        <v>25.4502390542039+38.5206595322718i</v>
      </c>
      <c r="AT141" s="67">
        <f t="shared" si="96"/>
        <v>33.286967221581442</v>
      </c>
      <c r="AU141" s="64">
        <f t="shared" si="97"/>
        <v>56.547633803654605</v>
      </c>
    </row>
    <row r="142" spans="14:47" x14ac:dyDescent="0.25">
      <c r="N142" s="11">
        <v>24</v>
      </c>
      <c r="O142" s="53">
        <f t="shared" si="98"/>
        <v>173.78008287493768</v>
      </c>
      <c r="P142" s="51" t="str">
        <f t="shared" si="65"/>
        <v>122.692307692308</v>
      </c>
      <c r="Q142" s="18" t="str">
        <f t="shared" si="66"/>
        <v>1+1.11918977498527i</v>
      </c>
      <c r="R142" s="18">
        <f t="shared" si="75"/>
        <v>1.5008616699854718</v>
      </c>
      <c r="S142" s="18">
        <f t="shared" si="76"/>
        <v>0.84158205844782175</v>
      </c>
      <c r="T142" s="18" t="str">
        <f t="shared" si="67"/>
        <v>1+0.000223837954997054i</v>
      </c>
      <c r="U142" s="18">
        <f t="shared" si="77"/>
        <v>1.0000000250517147</v>
      </c>
      <c r="V142" s="18">
        <f t="shared" si="78"/>
        <v>2.2383795125870433E-4</v>
      </c>
      <c r="W142" s="32" t="str">
        <f t="shared" si="68"/>
        <v>1-0.0106030879710356i</v>
      </c>
      <c r="X142" s="18">
        <f t="shared" si="79"/>
        <v>1.0000562111574136</v>
      </c>
      <c r="Y142" s="18">
        <f t="shared" si="80"/>
        <v>-1.0602690645438121E-2</v>
      </c>
      <c r="Z142" s="32" t="str">
        <f t="shared" si="69"/>
        <v>0.999999013893316+0.00113147776478492i</v>
      </c>
      <c r="AA142" s="18">
        <f t="shared" si="81"/>
        <v>0.99999965401470836</v>
      </c>
      <c r="AB142" s="18">
        <f t="shared" si="82"/>
        <v>1.131478397687656E-3</v>
      </c>
      <c r="AC142" s="69" t="str">
        <f t="shared" si="83"/>
        <v>53.7651074558916-61.5856363212387i</v>
      </c>
      <c r="AD142" s="67">
        <f t="shared" si="84"/>
        <v>38.250024825898251</v>
      </c>
      <c r="AE142" s="64">
        <f t="shared" si="85"/>
        <v>-48.878593455354611</v>
      </c>
      <c r="AF142" s="32" t="str">
        <f t="shared" si="70"/>
        <v>-0.0000198412698412698</v>
      </c>
      <c r="AG142" s="32" t="str">
        <f t="shared" si="71"/>
        <v>0.000037779479233649i</v>
      </c>
      <c r="AH142" s="32">
        <f t="shared" si="86"/>
        <v>3.7779479233648999E-5</v>
      </c>
      <c r="AI142" s="32">
        <f t="shared" si="87"/>
        <v>1.5707963267948966</v>
      </c>
      <c r="AJ142" s="32" t="str">
        <f t="shared" si="72"/>
        <v>1+0.0131133129095807i</v>
      </c>
      <c r="AK142" s="32">
        <f t="shared" si="88"/>
        <v>1.0000859757918139</v>
      </c>
      <c r="AL142" s="32">
        <f t="shared" si="89"/>
        <v>1.3112561336505391E-2</v>
      </c>
      <c r="AM142" s="32" t="str">
        <f t="shared" si="73"/>
        <v>1+0.283575391669682i</v>
      </c>
      <c r="AN142" s="32">
        <f t="shared" si="90"/>
        <v>1.0394301336600809</v>
      </c>
      <c r="AO142" s="32">
        <f t="shared" si="91"/>
        <v>0.27632107562503316</v>
      </c>
      <c r="AP142" s="61" t="str">
        <f t="shared" si="92"/>
        <v>-0.142018592332227+0.527048764644963i</v>
      </c>
      <c r="AQ142" s="52">
        <f t="shared" si="93"/>
        <v>-5.2585707538886295</v>
      </c>
      <c r="AR142" s="64">
        <f t="shared" si="94"/>
        <v>105.08073700064148</v>
      </c>
      <c r="AS142" s="61" t="str">
        <f t="shared" si="95"/>
        <v>24.8229886655062+37.0831388438582i</v>
      </c>
      <c r="AT142" s="67">
        <f t="shared" si="96"/>
        <v>32.991454072009638</v>
      </c>
      <c r="AU142" s="64">
        <f t="shared" si="97"/>
        <v>56.202143545286887</v>
      </c>
    </row>
    <row r="143" spans="14:47" x14ac:dyDescent="0.25">
      <c r="N143" s="11">
        <v>25</v>
      </c>
      <c r="O143" s="53">
        <f t="shared" si="98"/>
        <v>177.82794100389242</v>
      </c>
      <c r="P143" s="51" t="str">
        <f t="shared" si="65"/>
        <v>122.692307692308</v>
      </c>
      <c r="Q143" s="18" t="str">
        <f t="shared" si="66"/>
        <v>1+1.1452590537747i</v>
      </c>
      <c r="R143" s="18">
        <f t="shared" si="75"/>
        <v>1.5204007038451808</v>
      </c>
      <c r="S143" s="18">
        <f t="shared" si="76"/>
        <v>0.85300662509485725</v>
      </c>
      <c r="T143" s="18" t="str">
        <f t="shared" si="67"/>
        <v>1+0.000229051810754941i</v>
      </c>
      <c r="U143" s="18">
        <f t="shared" si="77"/>
        <v>1.0000000262323656</v>
      </c>
      <c r="V143" s="18">
        <f t="shared" si="78"/>
        <v>2.2905180674922716E-4</v>
      </c>
      <c r="W143" s="32" t="str">
        <f t="shared" si="68"/>
        <v>1-0.0108500656172971i</v>
      </c>
      <c r="X143" s="18">
        <f t="shared" si="79"/>
        <v>1.0000588602296865</v>
      </c>
      <c r="Y143" s="18">
        <f t="shared" si="80"/>
        <v>-1.0849639876602268E-2</v>
      </c>
      <c r="Z143" s="32" t="str">
        <f t="shared" si="69"/>
        <v>0.99999896741954+0.0011578332676259i</v>
      </c>
      <c r="AA143" s="18">
        <f t="shared" si="81"/>
        <v>0.99999963770894529</v>
      </c>
      <c r="AB143" s="18">
        <f t="shared" si="82"/>
        <v>1.157833945793402E-3</v>
      </c>
      <c r="AC143" s="69" t="str">
        <f t="shared" si="83"/>
        <v>52.3598413395624-61.410756332444i</v>
      </c>
      <c r="AD143" s="67">
        <f t="shared" si="84"/>
        <v>38.137700075196939</v>
      </c>
      <c r="AE143" s="64">
        <f t="shared" si="85"/>
        <v>-49.548533385454022</v>
      </c>
      <c r="AF143" s="32" t="str">
        <f t="shared" si="70"/>
        <v>-0.0000198412698412698</v>
      </c>
      <c r="AG143" s="32" t="str">
        <f t="shared" si="71"/>
        <v>0.0000386594763518093i</v>
      </c>
      <c r="AH143" s="32">
        <f t="shared" si="86"/>
        <v>3.8659476351809299E-5</v>
      </c>
      <c r="AI143" s="32">
        <f t="shared" si="87"/>
        <v>1.5707963267948966</v>
      </c>
      <c r="AJ143" s="32" t="str">
        <f t="shared" si="72"/>
        <v>1+0.0134187612059587i</v>
      </c>
      <c r="AK143" s="32">
        <f t="shared" si="88"/>
        <v>1.0000900275236737</v>
      </c>
      <c r="AL143" s="32">
        <f t="shared" si="89"/>
        <v>1.3417955884814528E-2</v>
      </c>
      <c r="AM143" s="32" t="str">
        <f t="shared" si="73"/>
        <v>1+0.290180711078856i</v>
      </c>
      <c r="AN143" s="32">
        <f t="shared" si="90"/>
        <v>1.0412515762687855</v>
      </c>
      <c r="AO143" s="32">
        <f t="shared" si="91"/>
        <v>0.2824241061821135</v>
      </c>
      <c r="AP143" s="61" t="str">
        <f t="shared" si="92"/>
        <v>-0.142017441595645+0.515137425868275i</v>
      </c>
      <c r="AQ143" s="52">
        <f t="shared" si="93"/>
        <v>-5.4433985686748017</v>
      </c>
      <c r="AR143" s="64">
        <f t="shared" si="94"/>
        <v>105.41291707509708</v>
      </c>
      <c r="AS143" s="61" t="str">
        <f t="shared" si="95"/>
        <v>24.1989682283205+35.6939123873207i</v>
      </c>
      <c r="AT143" s="67">
        <f t="shared" si="96"/>
        <v>32.694301506522123</v>
      </c>
      <c r="AU143" s="64">
        <f t="shared" si="97"/>
        <v>55.864383689643091</v>
      </c>
    </row>
    <row r="144" spans="14:47" x14ac:dyDescent="0.25">
      <c r="N144" s="11">
        <v>26</v>
      </c>
      <c r="O144" s="53">
        <f t="shared" si="98"/>
        <v>181.9700858609983</v>
      </c>
      <c r="P144" s="51" t="str">
        <f t="shared" si="65"/>
        <v>122.692307692308</v>
      </c>
      <c r="Q144" s="18" t="str">
        <f t="shared" si="66"/>
        <v>1+1.17193556407373i</v>
      </c>
      <c r="R144" s="18">
        <f t="shared" si="75"/>
        <v>1.5405950039970957</v>
      </c>
      <c r="S144" s="18">
        <f t="shared" si="76"/>
        <v>0.86439578940111728</v>
      </c>
      <c r="T144" s="18" t="str">
        <f t="shared" si="67"/>
        <v>1+0.000234387112814746i</v>
      </c>
      <c r="U144" s="18">
        <f t="shared" si="77"/>
        <v>1.0000000274686589</v>
      </c>
      <c r="V144" s="18">
        <f t="shared" si="78"/>
        <v>2.343871085225463E-4</v>
      </c>
      <c r="W144" s="32" t="str">
        <f t="shared" si="68"/>
        <v>1-0.0111027961119664i</v>
      </c>
      <c r="X144" s="18">
        <f t="shared" si="79"/>
        <v>1.0000616341413682</v>
      </c>
      <c r="Y144" s="18">
        <f t="shared" si="80"/>
        <v>-1.1102339924111315E-2</v>
      </c>
      <c r="Z144" s="32" t="str">
        <f t="shared" si="69"/>
        <v>0.999998918755522+0.0011848026689911i</v>
      </c>
      <c r="AA144" s="18">
        <f t="shared" si="81"/>
        <v>0.99999962063471681</v>
      </c>
      <c r="AB144" s="18">
        <f t="shared" si="82"/>
        <v>1.1848033956606732E-3</v>
      </c>
      <c r="AC144" s="69" t="str">
        <f t="shared" si="83"/>
        <v>50.9632706041752-61.2045056957393i</v>
      </c>
      <c r="AD144" s="67">
        <f t="shared" si="84"/>
        <v>38.023115863259022</v>
      </c>
      <c r="AE144" s="64">
        <f t="shared" si="85"/>
        <v>-50.216802623967794</v>
      </c>
      <c r="AF144" s="32" t="str">
        <f t="shared" si="70"/>
        <v>-0.0000198412698412698</v>
      </c>
      <c r="AG144" s="32" t="str">
        <f t="shared" si="71"/>
        <v>0.0000395599712360499i</v>
      </c>
      <c r="AH144" s="32">
        <f t="shared" si="86"/>
        <v>3.9559971236049903E-5</v>
      </c>
      <c r="AI144" s="32">
        <f t="shared" si="87"/>
        <v>1.5707963267948966</v>
      </c>
      <c r="AJ144" s="32" t="str">
        <f t="shared" si="72"/>
        <v>1+0.0137313243071463i</v>
      </c>
      <c r="AK144" s="32">
        <f t="shared" si="88"/>
        <v>1.0000942701901796</v>
      </c>
      <c r="AL144" s="32">
        <f t="shared" si="89"/>
        <v>1.373046139438641E-2</v>
      </c>
      <c r="AM144" s="32" t="str">
        <f t="shared" si="73"/>
        <v>1+0.296939888142038i</v>
      </c>
      <c r="AN144" s="32">
        <f t="shared" si="90"/>
        <v>1.0431554520635005</v>
      </c>
      <c r="AO144" s="32">
        <f t="shared" si="91"/>
        <v>0.28864699328836013</v>
      </c>
      <c r="AP144" s="61" t="str">
        <f t="shared" si="92"/>
        <v>-0.142016236646506+0.503499218317856i</v>
      </c>
      <c r="AQ144" s="52">
        <f t="shared" si="93"/>
        <v>-5.6275682089014563</v>
      </c>
      <c r="AR144" s="64">
        <f t="shared" si="94"/>
        <v>105.75155699589833</v>
      </c>
      <c r="AS144" s="61" t="str">
        <f t="shared" si="95"/>
        <v>23.578808876933+34.3520004768421i</v>
      </c>
      <c r="AT144" s="67">
        <f t="shared" si="96"/>
        <v>32.39554765435755</v>
      </c>
      <c r="AU144" s="64">
        <f t="shared" si="97"/>
        <v>55.534754371930575</v>
      </c>
    </row>
    <row r="145" spans="14:47" x14ac:dyDescent="0.25">
      <c r="N145" s="11">
        <v>27</v>
      </c>
      <c r="O145" s="53">
        <f t="shared" si="98"/>
        <v>186.20871366628685</v>
      </c>
      <c r="P145" s="51" t="str">
        <f t="shared" si="65"/>
        <v>122.692307692308</v>
      </c>
      <c r="Q145" s="18" t="str">
        <f t="shared" si="66"/>
        <v>1+1.19923345012124i</v>
      </c>
      <c r="R145" s="18">
        <f t="shared" si="75"/>
        <v>1.5614611323659944</v>
      </c>
      <c r="S145" s="18">
        <f t="shared" si="76"/>
        <v>0.87574377234185186</v>
      </c>
      <c r="T145" s="18" t="str">
        <f t="shared" si="67"/>
        <v>1+0.000239846690024248i</v>
      </c>
      <c r="U145" s="18">
        <f t="shared" si="77"/>
        <v>1.0000000287632169</v>
      </c>
      <c r="V145" s="18">
        <f t="shared" si="78"/>
        <v>2.3984668542507317E-4</v>
      </c>
      <c r="W145" s="32" t="str">
        <f t="shared" si="68"/>
        <v>1-0.0113614134560973i</v>
      </c>
      <c r="X145" s="18">
        <f t="shared" si="79"/>
        <v>1.0000645387752334</v>
      </c>
      <c r="Y145" s="18">
        <f t="shared" si="80"/>
        <v>-1.1360924643707479E-2</v>
      </c>
      <c r="Z145" s="32" t="str">
        <f t="shared" si="69"/>
        <v>0.999998867798039+0.00121240026841413i</v>
      </c>
      <c r="AA145" s="18">
        <f t="shared" si="81"/>
        <v>0.99999960275580646</v>
      </c>
      <c r="AB145" s="18">
        <f t="shared" si="82"/>
        <v>1.2124010470546097E-3</v>
      </c>
      <c r="AC145" s="69" t="str">
        <f t="shared" si="83"/>
        <v>49.5767807219731-60.9674167322885i</v>
      </c>
      <c r="AD145" s="67">
        <f t="shared" si="84"/>
        <v>37.906287394294523</v>
      </c>
      <c r="AE145" s="64">
        <f t="shared" si="85"/>
        <v>-50.883078383772691</v>
      </c>
      <c r="AF145" s="32" t="str">
        <f t="shared" si="70"/>
        <v>-0.0000198412698412698</v>
      </c>
      <c r="AG145" s="32" t="str">
        <f t="shared" si="71"/>
        <v>0.0000404814413406781i</v>
      </c>
      <c r="AH145" s="32">
        <f t="shared" si="86"/>
        <v>4.0481441340678102E-5</v>
      </c>
      <c r="AI145" s="32">
        <f t="shared" si="87"/>
        <v>1.5707963267948966</v>
      </c>
      <c r="AJ145" s="32" t="str">
        <f t="shared" si="72"/>
        <v>1+0.0140511679382371i</v>
      </c>
      <c r="AK145" s="32">
        <f t="shared" si="88"/>
        <v>1.0000987127881071</v>
      </c>
      <c r="AL145" s="32">
        <f t="shared" si="89"/>
        <v>1.4050243315485116E-2</v>
      </c>
      <c r="AM145" s="32" t="str">
        <f t="shared" si="73"/>
        <v>1+0.303856506664378i</v>
      </c>
      <c r="AN145" s="32">
        <f t="shared" si="90"/>
        <v>1.0451453375690287</v>
      </c>
      <c r="AO145" s="32">
        <f t="shared" si="91"/>
        <v>0.29499110785012145</v>
      </c>
      <c r="AP145" s="61" t="str">
        <f t="shared" si="92"/>
        <v>-0.142014974931779+0.492127971157947i</v>
      </c>
      <c r="AQ145" s="52">
        <f t="shared" si="93"/>
        <v>-5.8110536880905572</v>
      </c>
      <c r="AR145" s="64">
        <f t="shared" si="94"/>
        <v>106.09672583059124</v>
      </c>
      <c r="AS145" s="61" t="str">
        <f t="shared" si="95"/>
        <v>22.9631258317729+33.0564066721383i</v>
      </c>
      <c r="AT145" s="67">
        <f t="shared" si="96"/>
        <v>32.09523370620397</v>
      </c>
      <c r="AU145" s="64">
        <f t="shared" si="97"/>
        <v>55.213647446818534</v>
      </c>
    </row>
    <row r="146" spans="14:47" x14ac:dyDescent="0.25">
      <c r="N146" s="11">
        <v>28</v>
      </c>
      <c r="O146" s="53">
        <f t="shared" si="98"/>
        <v>190.54607179632498</v>
      </c>
      <c r="P146" s="51" t="str">
        <f t="shared" si="65"/>
        <v>122.692307692308</v>
      </c>
      <c r="Q146" s="18" t="str">
        <f t="shared" si="66"/>
        <v>1+1.22716718561775i</v>
      </c>
      <c r="R146" s="18">
        <f t="shared" si="75"/>
        <v>1.583015887935743</v>
      </c>
      <c r="S146" s="18">
        <f t="shared" si="76"/>
        <v>0.88704490073249098</v>
      </c>
      <c r="T146" s="18" t="str">
        <f t="shared" si="67"/>
        <v>1+0.00024543343712355i</v>
      </c>
      <c r="U146" s="18">
        <f t="shared" si="77"/>
        <v>1.0000000301187855</v>
      </c>
      <c r="V146" s="18">
        <f t="shared" si="78"/>
        <v>2.4543343219544543E-4</v>
      </c>
      <c r="W146" s="32" t="str">
        <f t="shared" si="68"/>
        <v>1-0.0116260547720287i</v>
      </c>
      <c r="X146" s="18">
        <f t="shared" si="79"/>
        <v>1.0000675802912333</v>
      </c>
      <c r="Y146" s="18">
        <f t="shared" si="80"/>
        <v>-1.1625531002027954E-2</v>
      </c>
      <c r="Z146" s="32" t="str">
        <f t="shared" si="69"/>
        <v>0.999998814439005+0.00124064069850749i</v>
      </c>
      <c r="AA146" s="18">
        <f t="shared" si="81"/>
        <v>0.99999958403429268</v>
      </c>
      <c r="AB146" s="18">
        <f t="shared" si="82"/>
        <v>1.2406415328357983E-3</v>
      </c>
      <c r="AC146" s="69" t="str">
        <f t="shared" si="83"/>
        <v>48.2017160394895-60.7000960461905i</v>
      </c>
      <c r="AD146" s="67">
        <f t="shared" si="84"/>
        <v>37.787232077888035</v>
      </c>
      <c r="AE146" s="64">
        <f t="shared" si="85"/>
        <v>-51.547044135491468</v>
      </c>
      <c r="AF146" s="32" t="str">
        <f t="shared" si="70"/>
        <v>-0.0000198412698412698</v>
      </c>
      <c r="AG146" s="32" t="str">
        <f t="shared" si="71"/>
        <v>0.0000414243752413404i</v>
      </c>
      <c r="AH146" s="32">
        <f t="shared" si="86"/>
        <v>4.1424375241340403E-5</v>
      </c>
      <c r="AI146" s="32">
        <f t="shared" si="87"/>
        <v>1.5707963267948966</v>
      </c>
      <c r="AJ146" s="32" t="str">
        <f t="shared" si="72"/>
        <v>1+0.0143784616845582i</v>
      </c>
      <c r="AK146" s="32">
        <f t="shared" si="88"/>
        <v>1.0001033647380726</v>
      </c>
      <c r="AL146" s="32">
        <f t="shared" si="89"/>
        <v>1.4377470938959714E-2</v>
      </c>
      <c r="AM146" s="32" t="str">
        <f t="shared" si="73"/>
        <v>1+0.310934233928571i</v>
      </c>
      <c r="AN146" s="32">
        <f t="shared" si="90"/>
        <v>1.04722495091969</v>
      </c>
      <c r="AO146" s="32">
        <f t="shared" si="91"/>
        <v>0.30145777014604169</v>
      </c>
      <c r="AP146" s="61" t="str">
        <f t="shared" si="92"/>
        <v>-0.142013653778298+0.481017655091289i</v>
      </c>
      <c r="AQ146" s="52">
        <f t="shared" si="93"/>
        <v>-5.9938282190848522</v>
      </c>
      <c r="AR146" s="64">
        <f t="shared" si="94"/>
        <v>106.44848952591862</v>
      </c>
      <c r="AS146" s="61" t="str">
        <f t="shared" si="95"/>
        <v>22.3525160508027+31.8061188449045i</v>
      </c>
      <c r="AT146" s="67">
        <f t="shared" si="96"/>
        <v>31.793403858803178</v>
      </c>
      <c r="AU146" s="64">
        <f t="shared" si="97"/>
        <v>54.901445390427106</v>
      </c>
    </row>
    <row r="147" spans="14:47" x14ac:dyDescent="0.25">
      <c r="N147" s="11">
        <v>29</v>
      </c>
      <c r="O147" s="53">
        <f t="shared" si="98"/>
        <v>194.98445997580458</v>
      </c>
      <c r="P147" s="51" t="str">
        <f t="shared" ref="P147:P210" si="99">COMPLEX(Adc,0)</f>
        <v>122.692307692308</v>
      </c>
      <c r="Q147" s="18" t="str">
        <f t="shared" ref="Q147:Q210" si="100">IMSUM(COMPLEX(1,0),IMDIV(COMPLEX(0,2*PI()*O147),COMPLEX(wp_lf,0)))</f>
        <v>1+1.25575158139953i</v>
      </c>
      <c r="R147" s="18">
        <f t="shared" si="75"/>
        <v>1.6052763108534991</v>
      </c>
      <c r="S147" s="18">
        <f t="shared" si="76"/>
        <v>0.89829362068780838</v>
      </c>
      <c r="T147" s="18" t="str">
        <f t="shared" ref="T147:T210" si="101">IMSUM(COMPLEX(1,0),IMDIV(COMPLEX(0,2*PI()*O147),COMPLEX(wz_esr,0)))</f>
        <v>1+0.000251150316279906i</v>
      </c>
      <c r="U147" s="18">
        <f t="shared" si="77"/>
        <v>1.0000000315382402</v>
      </c>
      <c r="V147" s="18">
        <f t="shared" si="78"/>
        <v>2.5115031099934683E-4</v>
      </c>
      <c r="W147" s="32" t="str">
        <f t="shared" ref="W147:W210" si="102">IMSUB(COMPLEX(1,0),IMDIV(COMPLEX(0,2*PI()*O147),COMPLEX(wz_rhp,0)))</f>
        <v>1-0.0118968603760891i</v>
      </c>
      <c r="X147" s="18">
        <f t="shared" si="79"/>
        <v>1.0000707651395515</v>
      </c>
      <c r="Y147" s="18">
        <f t="shared" si="80"/>
        <v>-1.1896299148566613E-2</v>
      </c>
      <c r="Z147" s="32" t="str">
        <f t="shared" ref="Z147:Z210" si="103">IMSUM(COMPLEX(1,0),IMDIV(COMPLEX(0,2*PI()*O147),COMPLEX(Q*(wsl/2),0)),IMDIV(IMPOWER(COMPLEX(0,2*PI()*O147),2),IMPOWER(COMPLEX(wsl/2,0),2)))</f>
        <v>0.999998758565236+0.00126953893272101i</v>
      </c>
      <c r="AA147" s="18">
        <f t="shared" si="81"/>
        <v>0.99999956443046267</v>
      </c>
      <c r="AB147" s="18">
        <f t="shared" si="82"/>
        <v>1.2695398267199033E-3</v>
      </c>
      <c r="AC147" s="69" t="str">
        <f t="shared" si="83"/>
        <v>46.8393748397782-60.403220802132i</v>
      </c>
      <c r="AD147" s="67">
        <f t="shared" si="84"/>
        <v>37.665969458723609</v>
      </c>
      <c r="AE147" s="64">
        <f t="shared" si="85"/>
        <v>-52.208390383126094</v>
      </c>
      <c r="AF147" s="32" t="str">
        <f t="shared" ref="AF147:AF210" si="104">COMPLEX(Adc_ea,0)</f>
        <v>-0.0000198412698412698</v>
      </c>
      <c r="AG147" s="32" t="str">
        <f t="shared" ref="AG147:AG210" si="105">COMPLEX(0,2*PI()*O147*wp0_ea)</f>
        <v>0.0000423892728940719i</v>
      </c>
      <c r="AH147" s="32">
        <f t="shared" si="86"/>
        <v>4.23892728940719E-5</v>
      </c>
      <c r="AI147" s="32">
        <f t="shared" si="87"/>
        <v>1.5707963267948966</v>
      </c>
      <c r="AJ147" s="32" t="str">
        <f t="shared" ref="AJ147:AJ210" si="106">IMSUM(COMPLEX(1,0),IMDIV(COMPLEX(0,2*PI()*O147),COMPLEX(wp1_ea,0)))</f>
        <v>1+0.0147133790815856i</v>
      </c>
      <c r="AK147" s="32">
        <f t="shared" si="88"/>
        <v>1.0001082359044937</v>
      </c>
      <c r="AL147" s="32">
        <f t="shared" si="89"/>
        <v>1.4712317484755287E-2</v>
      </c>
      <c r="AM147" s="32" t="str">
        <f t="shared" ref="AM147:AM210" si="107">IMSUM(COMPLEX(1,0),IMDIV(COMPLEX(0,2*PI()*O147),COMPLEX(wz_ea,0)))</f>
        <v>1+0.318176822639289i</v>
      </c>
      <c r="AN147" s="32">
        <f t="shared" si="90"/>
        <v>1.04939815630905</v>
      </c>
      <c r="AO147" s="32">
        <f t="shared" si="91"/>
        <v>0.30804824472720238</v>
      </c>
      <c r="AP147" s="61" t="str">
        <f t="shared" si="92"/>
        <v>-0.142012270387116+0.470162379161773i</v>
      </c>
      <c r="AQ147" s="52">
        <f t="shared" si="93"/>
        <v>-6.1758642091829419</v>
      </c>
      <c r="AR147" s="64">
        <f t="shared" si="94"/>
        <v>106.80691061054878</v>
      </c>
      <c r="AS147" s="61" t="str">
        <f t="shared" si="95"/>
        <v>21.7475560368542+30.6001104379252i</v>
      </c>
      <c r="AT147" s="67">
        <f t="shared" si="96"/>
        <v>31.490105249540651</v>
      </c>
      <c r="AU147" s="64">
        <f t="shared" si="97"/>
        <v>54.598520227422682</v>
      </c>
    </row>
    <row r="148" spans="14:47" x14ac:dyDescent="0.25">
      <c r="N148" s="11">
        <v>30</v>
      </c>
      <c r="O148" s="53">
        <f t="shared" si="98"/>
        <v>199.52623149688802</v>
      </c>
      <c r="P148" s="51" t="str">
        <f t="shared" si="99"/>
        <v>122.692307692308</v>
      </c>
      <c r="Q148" s="18" t="str">
        <f t="shared" si="100"/>
        <v>1+1.28500179329161i</v>
      </c>
      <c r="R148" s="18">
        <f t="shared" ref="R148:R211" si="108">IMABS(Q148)</f>
        <v>1.6282596871392025</v>
      </c>
      <c r="S148" s="18">
        <f t="shared" ref="S148:S211" si="109">IMARGUMENT(Q148)</f>
        <v>0.90948451035450462</v>
      </c>
      <c r="T148" s="18" t="str">
        <f t="shared" si="101"/>
        <v>1+0.000257000358658323i</v>
      </c>
      <c r="U148" s="18">
        <f t="shared" ref="U148:U211" si="110">IMABS(T148)</f>
        <v>1.0000000330245917</v>
      </c>
      <c r="V148" s="18">
        <f t="shared" ref="V148:V211" si="111">IMARGUMENT(T148)</f>
        <v>2.5700035300010187E-4</v>
      </c>
      <c r="W148" s="32" t="str">
        <f t="shared" si="102"/>
        <v>1-0.0121739738529946i</v>
      </c>
      <c r="X148" s="18">
        <f t="shared" ref="X148:X211" si="112">IMABS(W148)</f>
        <v>1.0000741000742761</v>
      </c>
      <c r="Y148" s="18">
        <f t="shared" ref="Y148:Y211" si="113">IMARGUMENT(W148)</f>
        <v>-1.2173372489276125E-2</v>
      </c>
      <c r="Z148" s="32" t="str">
        <f t="shared" si="103"/>
        <v>0.999998700058219+0.001299110293281i</v>
      </c>
      <c r="AA148" s="18">
        <f t="shared" ref="AA148:AA211" si="114">IMABS(Z148)</f>
        <v>0.99999954390273704</v>
      </c>
      <c r="AB148" s="18">
        <f t="shared" ref="AB148:AB211" si="115">IMARGUMENT(Z148)</f>
        <v>1.2991112512180758E-3</v>
      </c>
      <c r="AC148" s="69" t="str">
        <f t="shared" ref="AC148:AC211" si="116">(IMDIV(IMPRODUCT(P148,T148,W148),IMPRODUCT(Q148,Z148)))</f>
        <v>45.4910047915998-60.077534631551i</v>
      </c>
      <c r="AD148" s="67">
        <f t="shared" ref="AD148:AD211" si="117">20*LOG(IMABS(AC148))</f>
        <v>37.542521138655495</v>
      </c>
      <c r="AE148" s="64">
        <f t="shared" ref="AE148:AE211" si="118">(180/PI())*IMARGUMENT(AC148)</f>
        <v>-52.866815398163986</v>
      </c>
      <c r="AF148" s="32" t="str">
        <f t="shared" si="104"/>
        <v>-0.0000198412698412698</v>
      </c>
      <c r="AG148" s="32" t="str">
        <f t="shared" si="105"/>
        <v>0.0000433766459003803i</v>
      </c>
      <c r="AH148" s="32">
        <f t="shared" ref="AH148:AH211" si="119">IMABS(AG148)</f>
        <v>4.3376645900380299E-5</v>
      </c>
      <c r="AI148" s="32">
        <f t="shared" ref="AI148:AI211" si="120">IMARGUMENT(AG148)</f>
        <v>1.5707963267948966</v>
      </c>
      <c r="AJ148" s="32" t="str">
        <f t="shared" si="106"/>
        <v>1+0.0150560977069568i</v>
      </c>
      <c r="AK148" s="32">
        <f t="shared" ref="AK148:AK211" si="121">IMABS(AJ148)</f>
        <v>1.0001133366164865</v>
      </c>
      <c r="AL148" s="32">
        <f t="shared" ref="AL148:AL211" si="122">IMARGUMENT(AJ148)</f>
        <v>1.5054960192420816E-2</v>
      </c>
      <c r="AM148" s="32" t="str">
        <f t="shared" si="107"/>
        <v>1+0.325588112912942i</v>
      </c>
      <c r="AN148" s="32">
        <f t="shared" ref="AN148:AN211" si="123">IMABS(AM148)</f>
        <v>1.0516689684830538</v>
      </c>
      <c r="AO148" s="32">
        <f t="shared" ref="AO148:AO211" si="124">IMARGUMENT(AM148)</f>
        <v>0.31476373510840794</v>
      </c>
      <c r="AP148" s="61" t="str">
        <f t="shared" ref="AP148:AP211" si="125">IMPRODUCT(AF148,IMDIV(AM148,IMPRODUCT(AG148,AJ148)))</f>
        <v>-0.142010821827604+0.459556387630406i</v>
      </c>
      <c r="AQ148" s="52">
        <f t="shared" ref="AQ148:AQ211" si="126">20*LOG(IMABS(AP148))</f>
        <v>-6.3571332572166064</v>
      </c>
      <c r="AR148" s="64">
        <f t="shared" ref="AR148:AR211" si="127">(180/PI())*IMARGUMENT(AP148)</f>
        <v>107.17204788572238</v>
      </c>
      <c r="AS148" s="61" t="str">
        <f t="shared" ref="AS148:AS211" si="128">IMPRODUCT(AC148,AP148)</f>
        <v>21.1487998167976+29.437341898108i</v>
      </c>
      <c r="AT148" s="67">
        <f t="shared" ref="AT148:AT211" si="129">20*LOG(IMABS(AS148))</f>
        <v>31.185387881438885</v>
      </c>
      <c r="AU148" s="64">
        <f t="shared" ref="AU148:AU211" si="130">(180/PI())*IMARGUMENT(AS148)</f>
        <v>54.305232487558456</v>
      </c>
    </row>
    <row r="149" spans="14:47" x14ac:dyDescent="0.25">
      <c r="N149" s="11">
        <v>31</v>
      </c>
      <c r="O149" s="53">
        <f t="shared" si="98"/>
        <v>204.17379446695315</v>
      </c>
      <c r="P149" s="51" t="str">
        <f t="shared" si="99"/>
        <v>122.692307692308</v>
      </c>
      <c r="Q149" s="18" t="str">
        <f t="shared" si="100"/>
        <v>1+1.31493333014351i</v>
      </c>
      <c r="R149" s="18">
        <f t="shared" si="108"/>
        <v>1.6519835540108445</v>
      </c>
      <c r="S149" s="18">
        <f t="shared" si="109"/>
        <v>0.92061229185219884</v>
      </c>
      <c r="T149" s="18" t="str">
        <f t="shared" si="101"/>
        <v>1+0.000262986666028702i</v>
      </c>
      <c r="U149" s="18">
        <f t="shared" si="110"/>
        <v>1.0000000345809927</v>
      </c>
      <c r="V149" s="18">
        <f t="shared" si="111"/>
        <v>2.6298665996580883E-4</v>
      </c>
      <c r="W149" s="32" t="str">
        <f t="shared" si="102"/>
        <v>1-0.0124575421319784i</v>
      </c>
      <c r="X149" s="18">
        <f t="shared" si="112"/>
        <v>1.0000775921677127</v>
      </c>
      <c r="Y149" s="18">
        <f t="shared" si="113"/>
        <v>-1.2456897761844696E-2</v>
      </c>
      <c r="Z149" s="32" t="str">
        <f t="shared" si="103"/>
        <v>0.99999863879385+0.00132937045931424i</v>
      </c>
      <c r="AA149" s="18">
        <f t="shared" si="114"/>
        <v>0.99999952240757128</v>
      </c>
      <c r="AB149" s="18">
        <f t="shared" si="115"/>
        <v>1.3293714857623145E-3</v>
      </c>
      <c r="AC149" s="69" t="str">
        <f t="shared" si="116"/>
        <v>44.1577988158915-59.7238432122859i</v>
      </c>
      <c r="AD149" s="67">
        <f t="shared" si="117"/>
        <v>37.416910691775222</v>
      </c>
      <c r="AE149" s="64">
        <f t="shared" si="118"/>
        <v>-53.522025908431601</v>
      </c>
      <c r="AF149" s="32" t="str">
        <f t="shared" si="104"/>
        <v>-0.0000198412698412698</v>
      </c>
      <c r="AG149" s="32" t="str">
        <f t="shared" si="105"/>
        <v>0.0000443870177785029i</v>
      </c>
      <c r="AH149" s="32">
        <f t="shared" si="119"/>
        <v>4.43870177785029E-5</v>
      </c>
      <c r="AI149" s="32">
        <f t="shared" si="120"/>
        <v>1.5707963267948966</v>
      </c>
      <c r="AJ149" s="32" t="str">
        <f t="shared" si="106"/>
        <v>1+0.0154067992746232i</v>
      </c>
      <c r="AK149" s="32">
        <f t="shared" si="121"/>
        <v>1.0001186776897473</v>
      </c>
      <c r="AL149" s="32">
        <f t="shared" si="122"/>
        <v>1.5405580413649365E-2</v>
      </c>
      <c r="AM149" s="32" t="str">
        <f t="shared" si="107"/>
        <v>1+0.333172034313727i</v>
      </c>
      <c r="AN149" s="32">
        <f t="shared" si="123"/>
        <v>1.0540415572683779</v>
      </c>
      <c r="AO149" s="32">
        <f t="shared" si="124"/>
        <v>0.32160537825498559</v>
      </c>
      <c r="AP149" s="61" t="str">
        <f t="shared" si="125"/>
        <v>-0.142009305031258+0.449194056922938i</v>
      </c>
      <c r="AQ149" s="52">
        <f t="shared" si="126"/>
        <v>-6.5376061527564708</v>
      </c>
      <c r="AR149" s="64">
        <f t="shared" si="127"/>
        <v>107.54395610406758</v>
      </c>
      <c r="AS149" s="61" t="str">
        <f t="shared" si="128"/>
        <v>20.5567771060013+28.3167622632698i</v>
      </c>
      <c r="AT149" s="67">
        <f t="shared" si="129"/>
        <v>30.879304539018758</v>
      </c>
      <c r="AU149" s="64">
        <f t="shared" si="130"/>
        <v>54.02193019563606</v>
      </c>
    </row>
    <row r="150" spans="14:47" x14ac:dyDescent="0.25">
      <c r="N150" s="11">
        <v>32</v>
      </c>
      <c r="O150" s="53">
        <f t="shared" si="98"/>
        <v>208.92961308540396</v>
      </c>
      <c r="P150" s="51" t="str">
        <f t="shared" si="99"/>
        <v>122.692307692308</v>
      </c>
      <c r="Q150" s="18" t="str">
        <f t="shared" si="100"/>
        <v>1+1.34556206205225i</v>
      </c>
      <c r="R150" s="18">
        <f t="shared" si="108"/>
        <v>1.676465705833049</v>
      </c>
      <c r="S150" s="18">
        <f t="shared" si="109"/>
        <v>0.93167184236667289</v>
      </c>
      <c r="T150" s="18" t="str">
        <f t="shared" si="101"/>
        <v>1+0.000269112412410451i</v>
      </c>
      <c r="U150" s="18">
        <f t="shared" si="110"/>
        <v>1.0000000362107446</v>
      </c>
      <c r="V150" s="18">
        <f t="shared" si="111"/>
        <v>2.6911240591394396E-4</v>
      </c>
      <c r="W150" s="32" t="str">
        <f t="shared" si="102"/>
        <v>1-0.0127477155646958i</v>
      </c>
      <c r="X150" s="18">
        <f t="shared" si="112"/>
        <v>1.0000812488253734</v>
      </c>
      <c r="Y150" s="18">
        <f t="shared" si="113"/>
        <v>-1.2747025112687363E-2</v>
      </c>
      <c r="Z150" s="32" t="str">
        <f t="shared" si="103"/>
        <v>0.99999857464218+0.00136033547516131i</v>
      </c>
      <c r="AA150" s="18">
        <f t="shared" si="114"/>
        <v>0.9999994998993732</v>
      </c>
      <c r="AB150" s="18">
        <f t="shared" si="115"/>
        <v>1.3603365750202436E-3</v>
      </c>
      <c r="AC150" s="69" t="str">
        <f t="shared" si="116"/>
        <v>42.8408913940762-59.3430095691634i</v>
      </c>
      <c r="AD150" s="67">
        <f t="shared" si="117"/>
        <v>37.2891635731687</v>
      </c>
      <c r="AE150" s="64">
        <f t="shared" si="118"/>
        <v>-54.173737738484732</v>
      </c>
      <c r="AF150" s="32" t="str">
        <f t="shared" si="104"/>
        <v>-0.0000198412698412698</v>
      </c>
      <c r="AG150" s="32" t="str">
        <f t="shared" si="105"/>
        <v>0.0000454209242409832i</v>
      </c>
      <c r="AH150" s="32">
        <f t="shared" si="119"/>
        <v>4.5420924240983201E-5</v>
      </c>
      <c r="AI150" s="32">
        <f t="shared" si="120"/>
        <v>1.5707963267948966</v>
      </c>
      <c r="AJ150" s="32" t="str">
        <f t="shared" si="106"/>
        <v>1+0.0157656697311982i</v>
      </c>
      <c r="AK150" s="32">
        <f t="shared" si="121"/>
        <v>1.0001242704494644</v>
      </c>
      <c r="AL150" s="32">
        <f t="shared" si="122"/>
        <v>1.57643637068988E-2</v>
      </c>
      <c r="AM150" s="32" t="str">
        <f t="shared" si="107"/>
        <v>1+0.340932607937162i</v>
      </c>
      <c r="AN150" s="32">
        <f t="shared" si="123"/>
        <v>1.0565202521271586</v>
      </c>
      <c r="AO150" s="32">
        <f t="shared" si="124"/>
        <v>0.32857423887136422</v>
      </c>
      <c r="AP150" s="61" t="str">
        <f t="shared" si="125"/>
        <v>-0.142007716785231+0.439069892647509i</v>
      </c>
      <c r="AQ150" s="52">
        <f t="shared" si="126"/>
        <v>-6.7172528776385043</v>
      </c>
      <c r="AR150" s="64">
        <f t="shared" si="127"/>
        <v>107.92268563693797</v>
      </c>
      <c r="AS150" s="61" t="str">
        <f t="shared" si="128"/>
        <v>19.9719916689959+27.2373108814016i</v>
      </c>
      <c r="AT150" s="67">
        <f t="shared" si="129"/>
        <v>30.5719106955302</v>
      </c>
      <c r="AU150" s="64">
        <f t="shared" si="130"/>
        <v>53.748947898453153</v>
      </c>
    </row>
    <row r="151" spans="14:47" x14ac:dyDescent="0.25">
      <c r="N151" s="11">
        <v>33</v>
      </c>
      <c r="O151" s="53">
        <f t="shared" si="98"/>
        <v>213.79620895022339</v>
      </c>
      <c r="P151" s="51" t="str">
        <f t="shared" si="99"/>
        <v>122.692307692308</v>
      </c>
      <c r="Q151" s="18" t="str">
        <f t="shared" si="100"/>
        <v>1+1.37690422877691i</v>
      </c>
      <c r="R151" s="18">
        <f t="shared" si="108"/>
        <v>1.7017242006928555</v>
      </c>
      <c r="S151" s="18">
        <f t="shared" si="109"/>
        <v>0.94265820434803271</v>
      </c>
      <c r="T151" s="18" t="str">
        <f t="shared" si="101"/>
        <v>1+0.000275380845755382i</v>
      </c>
      <c r="U151" s="18">
        <f t="shared" si="110"/>
        <v>1.0000000379173044</v>
      </c>
      <c r="V151" s="18">
        <f t="shared" si="111"/>
        <v>2.7538083879424926E-4</v>
      </c>
      <c r="W151" s="32" t="str">
        <f t="shared" si="102"/>
        <v>1-0.0130446480049415i</v>
      </c>
      <c r="X151" s="18">
        <f t="shared" si="112"/>
        <v>1.0000850778016703</v>
      </c>
      <c r="Y151" s="18">
        <f t="shared" si="113"/>
        <v>-1.3043908175684286E-2</v>
      </c>
      <c r="Z151" s="32" t="str">
        <f t="shared" si="103"/>
        <v>0.999998507467136+0.00139202175888348i</v>
      </c>
      <c r="AA151" s="18">
        <f t="shared" si="114"/>
        <v>0.99999947633040132</v>
      </c>
      <c r="AB151" s="18">
        <f t="shared" si="115"/>
        <v>1.3920229374035648E-3</v>
      </c>
      <c r="AC151" s="69" t="str">
        <f t="shared" si="116"/>
        <v>41.5413553368772-58.9359491446412i</v>
      </c>
      <c r="AD151" s="67">
        <f t="shared" si="117"/>
        <v>37.159307022091831</v>
      </c>
      <c r="AE151" s="64">
        <f t="shared" si="118"/>
        <v>-54.821676398822831</v>
      </c>
      <c r="AF151" s="32" t="str">
        <f t="shared" si="104"/>
        <v>-0.0000198412698412698</v>
      </c>
      <c r="AG151" s="32" t="str">
        <f t="shared" si="105"/>
        <v>0.0000464789134787132i</v>
      </c>
      <c r="AH151" s="32">
        <f t="shared" si="119"/>
        <v>4.6478913478713202E-5</v>
      </c>
      <c r="AI151" s="32">
        <f t="shared" si="120"/>
        <v>1.5707963267948966</v>
      </c>
      <c r="AJ151" s="32" t="str">
        <f t="shared" si="106"/>
        <v>1+0.0161328993545479i</v>
      </c>
      <c r="AK151" s="32">
        <f t="shared" si="121"/>
        <v>1.0001301267543059</v>
      </c>
      <c r="AL151" s="32">
        <f t="shared" si="122"/>
        <v>1.6131499934131717E-2</v>
      </c>
      <c r="AM151" s="32" t="str">
        <f t="shared" si="107"/>
        <v>1+0.348873948542099i</v>
      </c>
      <c r="AN151" s="32">
        <f t="shared" si="123"/>
        <v>1.0591095467284557</v>
      </c>
      <c r="AO151" s="32">
        <f t="shared" si="124"/>
        <v>0.33567130349934077</v>
      </c>
      <c r="AP151" s="61" t="str">
        <f t="shared" si="125"/>
        <v>-0.14200605372555+0.429178526680749i</v>
      </c>
      <c r="AQ151" s="52">
        <f t="shared" si="126"/>
        <v>-6.8960426100088004</v>
      </c>
      <c r="AR151" s="64">
        <f t="shared" si="127"/>
        <v>108.30828213072586</v>
      </c>
      <c r="AS151" s="61" t="str">
        <f t="shared" si="128"/>
        <v>19.3949198846279+26.1979192404026i</v>
      </c>
      <c r="AT151" s="67">
        <f t="shared" si="129"/>
        <v>30.263264412083018</v>
      </c>
      <c r="AU151" s="64">
        <f t="shared" si="130"/>
        <v>53.486605731903026</v>
      </c>
    </row>
    <row r="152" spans="14:47" x14ac:dyDescent="0.25">
      <c r="N152" s="11">
        <v>34</v>
      </c>
      <c r="O152" s="53">
        <f t="shared" si="98"/>
        <v>218.77616239495524</v>
      </c>
      <c r="P152" s="51" t="str">
        <f t="shared" si="99"/>
        <v>122.692307692308</v>
      </c>
      <c r="Q152" s="18" t="str">
        <f t="shared" si="100"/>
        <v>1+1.40897644834915i</v>
      </c>
      <c r="R152" s="18">
        <f t="shared" si="108"/>
        <v>1.7277773676034145</v>
      </c>
      <c r="S152" s="18">
        <f t="shared" si="109"/>
        <v>0.95356659477569194</v>
      </c>
      <c r="T152" s="18" t="str">
        <f t="shared" si="101"/>
        <v>1+0.00028179528966983i</v>
      </c>
      <c r="U152" s="18">
        <f t="shared" si="110"/>
        <v>1.0000000397042919</v>
      </c>
      <c r="V152" s="18">
        <f t="shared" si="111"/>
        <v>2.8179528221084193E-4</v>
      </c>
      <c r="W152" s="32" t="str">
        <f t="shared" si="102"/>
        <v>1-0.0133484968902258i</v>
      </c>
      <c r="X152" s="18">
        <f t="shared" si="112"/>
        <v>1.0000890872163481</v>
      </c>
      <c r="Y152" s="18">
        <f t="shared" si="113"/>
        <v>-1.3347704152708004E-2</v>
      </c>
      <c r="Z152" s="32" t="str">
        <f t="shared" si="103"/>
        <v>0.999998437126229+0.0014244461109678i</v>
      </c>
      <c r="AA152" s="18">
        <f t="shared" si="114"/>
        <v>0.99999945165066151</v>
      </c>
      <c r="AB152" s="18">
        <f t="shared" si="115"/>
        <v>1.4244473737748289E-3</v>
      </c>
      <c r="AC152" s="69" t="str">
        <f t="shared" si="116"/>
        <v>40.260199026357-58.5036246895266i</v>
      </c>
      <c r="AD152" s="67">
        <f t="shared" si="117"/>
        <v>37.027369960320399</v>
      </c>
      <c r="AE152" s="64">
        <f t="shared" si="118"/>
        <v>-55.465577621746554</v>
      </c>
      <c r="AF152" s="32" t="str">
        <f t="shared" si="104"/>
        <v>-0.0000198412698412698</v>
      </c>
      <c r="AG152" s="32" t="str">
        <f t="shared" si="105"/>
        <v>0.0000475615464515907i</v>
      </c>
      <c r="AH152" s="32">
        <f t="shared" si="119"/>
        <v>4.7561546451590697E-5</v>
      </c>
      <c r="AI152" s="32">
        <f t="shared" si="120"/>
        <v>1.5707963267948966</v>
      </c>
      <c r="AJ152" s="32" t="str">
        <f t="shared" si="106"/>
        <v>1+0.0165086828546796i</v>
      </c>
      <c r="AK152" s="32">
        <f t="shared" si="121"/>
        <v>1.0001362590215377</v>
      </c>
      <c r="AL152" s="32">
        <f t="shared" si="122"/>
        <v>1.6507183359720956E-2</v>
      </c>
      <c r="AM152" s="32" t="str">
        <f t="shared" si="107"/>
        <v>1+0.357000266732446i</v>
      </c>
      <c r="AN152" s="32">
        <f t="shared" si="123"/>
        <v>1.0618141035261481</v>
      </c>
      <c r="AO152" s="32">
        <f t="shared" si="124"/>
        <v>0.34289747443613255</v>
      </c>
      <c r="AP152" s="61" t="str">
        <f t="shared" si="125"/>
        <v>-0.14200431233003+0.419514714320791i</v>
      </c>
      <c r="AQ152" s="52">
        <f t="shared" si="126"/>
        <v>-7.0739437310884901</v>
      </c>
      <c r="AR152" s="64">
        <f t="shared" si="127"/>
        <v>108.70078615272479</v>
      </c>
      <c r="AS152" s="61" t="str">
        <f t="shared" si="128"/>
        <v>18.8260095213496+25.1975128858907i</v>
      </c>
      <c r="AT152" s="67">
        <f t="shared" si="129"/>
        <v>29.953426229231912</v>
      </c>
      <c r="AU152" s="64">
        <f t="shared" si="130"/>
        <v>53.235208530978142</v>
      </c>
    </row>
    <row r="153" spans="14:47" x14ac:dyDescent="0.25">
      <c r="N153" s="11">
        <v>35</v>
      </c>
      <c r="O153" s="53">
        <f t="shared" si="98"/>
        <v>223.87211385683412</v>
      </c>
      <c r="P153" s="51" t="str">
        <f t="shared" si="99"/>
        <v>122.692307692308</v>
      </c>
      <c r="Q153" s="18" t="str">
        <f t="shared" si="100"/>
        <v>1+1.44179572588431i</v>
      </c>
      <c r="R153" s="18">
        <f t="shared" si="108"/>
        <v>1.7546438143333434</v>
      </c>
      <c r="S153" s="18">
        <f t="shared" si="109"/>
        <v>0.96439241346143589</v>
      </c>
      <c r="T153" s="18" t="str">
        <f t="shared" si="101"/>
        <v>1+0.000288359145176863i</v>
      </c>
      <c r="U153" s="18">
        <f t="shared" si="110"/>
        <v>1.0000000415754975</v>
      </c>
      <c r="V153" s="18">
        <f t="shared" si="111"/>
        <v>2.8835913718441332E-4</v>
      </c>
      <c r="W153" s="32" t="str">
        <f t="shared" si="102"/>
        <v>1-0.0136594233252495i</v>
      </c>
      <c r="X153" s="18">
        <f t="shared" si="112"/>
        <v>1.0000932855716902</v>
      </c>
      <c r="Y153" s="18">
        <f t="shared" si="113"/>
        <v>-1.3658573895974397E-2</v>
      </c>
      <c r="Z153" s="32" t="str">
        <f t="shared" si="103"/>
        <v>0.999998363470258+0.00145762572323492i</v>
      </c>
      <c r="AA153" s="18">
        <f t="shared" si="114"/>
        <v>0.99999942580780687</v>
      </c>
      <c r="AB153" s="18">
        <f t="shared" si="115"/>
        <v>1.4576270763570363E-3</v>
      </c>
      <c r="AC153" s="69" t="str">
        <f t="shared" si="116"/>
        <v>38.9983641379825-58.0470410238905i</v>
      </c>
      <c r="AD153" s="67">
        <f t="shared" si="117"/>
        <v>36.89338288644263</v>
      </c>
      <c r="AE153" s="64">
        <f t="shared" si="118"/>
        <v>-56.105187842217241</v>
      </c>
      <c r="AF153" s="32" t="str">
        <f t="shared" si="104"/>
        <v>-0.0000198412698412698</v>
      </c>
      <c r="AG153" s="32" t="str">
        <f t="shared" si="105"/>
        <v>0.0000486693971859484i</v>
      </c>
      <c r="AH153" s="32">
        <f t="shared" si="119"/>
        <v>4.8669397185948401E-5</v>
      </c>
      <c r="AI153" s="32">
        <f t="shared" si="120"/>
        <v>1.5707963267948966</v>
      </c>
      <c r="AJ153" s="32" t="str">
        <f t="shared" si="106"/>
        <v>1+0.0168932194769791i</v>
      </c>
      <c r="AK153" s="32">
        <f t="shared" si="121"/>
        <v>1.0001426802533213</v>
      </c>
      <c r="AL153" s="32">
        <f t="shared" si="122"/>
        <v>1.6891612751562306E-2</v>
      </c>
      <c r="AM153" s="32" t="str">
        <f t="shared" si="107"/>
        <v>1+0.365315871189673i</v>
      </c>
      <c r="AN153" s="32">
        <f t="shared" si="123"/>
        <v>1.0646387583321724</v>
      </c>
      <c r="AO153" s="32">
        <f t="shared" si="124"/>
        <v>0.35025356348430436</v>
      </c>
      <c r="AP153" s="61" t="str">
        <f t="shared" si="125"/>
        <v>-0.142002488910843+0.410073331505636i</v>
      </c>
      <c r="AQ153" s="52">
        <f t="shared" si="126"/>
        <v>-7.2509238348650227</v>
      </c>
      <c r="AR153" s="64">
        <f t="shared" si="127"/>
        <v>109.10023282723415</v>
      </c>
      <c r="AS153" s="61" t="str">
        <f t="shared" si="128"/>
        <v>18.2656787256662+24.2350134046347i</v>
      </c>
      <c r="AT153" s="67">
        <f t="shared" si="129"/>
        <v>29.642459051577607</v>
      </c>
      <c r="AU153" s="64">
        <f t="shared" si="130"/>
        <v>52.99504498501701</v>
      </c>
    </row>
    <row r="154" spans="14:47" x14ac:dyDescent="0.25">
      <c r="N154" s="11">
        <v>36</v>
      </c>
      <c r="O154" s="53">
        <f t="shared" si="98"/>
        <v>229.08676527677744</v>
      </c>
      <c r="P154" s="51" t="str">
        <f t="shared" si="99"/>
        <v>122.692307692308</v>
      </c>
      <c r="Q154" s="18" t="str">
        <f t="shared" si="100"/>
        <v>1+1.47537946259776i</v>
      </c>
      <c r="R154" s="18">
        <f t="shared" si="108"/>
        <v>1.7823424358566047</v>
      </c>
      <c r="S154" s="18">
        <f t="shared" si="109"/>
        <v>0.97513125037106574</v>
      </c>
      <c r="T154" s="18" t="str">
        <f t="shared" si="101"/>
        <v>1+0.000295075892519552i</v>
      </c>
      <c r="U154" s="18">
        <f t="shared" si="110"/>
        <v>1.0000000435348901</v>
      </c>
      <c r="V154" s="18">
        <f t="shared" si="111"/>
        <v>2.9507588395548786E-4</v>
      </c>
      <c r="W154" s="32" t="str">
        <f t="shared" si="102"/>
        <v>1-0.0139775921673241i</v>
      </c>
      <c r="X154" s="18">
        <f t="shared" si="112"/>
        <v>1.0000976817705338</v>
      </c>
      <c r="Y154" s="18">
        <f t="shared" si="113"/>
        <v>-1.3976681992258677E-2</v>
      </c>
      <c r="Z154" s="32" t="str">
        <f t="shared" si="103"/>
        <v>0.999998286342987+0.00149157818795446i</v>
      </c>
      <c r="AA154" s="18">
        <f t="shared" si="114"/>
        <v>0.99999939874702015</v>
      </c>
      <c r="AB154" s="18">
        <f t="shared" si="115"/>
        <v>1.4915796378509381E-3</v>
      </c>
      <c r="AC154" s="69" t="str">
        <f t="shared" si="116"/>
        <v>37.7567238438196-57.5672397176942i</v>
      </c>
      <c r="AD154" s="67">
        <f t="shared" si="117"/>
        <v>36.757377766872409</v>
      </c>
      <c r="AE154" s="64">
        <f t="shared" si="118"/>
        <v>-56.740264622599575</v>
      </c>
      <c r="AF154" s="32" t="str">
        <f t="shared" si="104"/>
        <v>-0.0000198412698412698</v>
      </c>
      <c r="AG154" s="32" t="str">
        <f t="shared" si="105"/>
        <v>0.0000498030530789096i</v>
      </c>
      <c r="AH154" s="32">
        <f t="shared" si="119"/>
        <v>4.9803053078909599E-5</v>
      </c>
      <c r="AI154" s="32">
        <f t="shared" si="120"/>
        <v>1.5707963267948966</v>
      </c>
      <c r="AJ154" s="32" t="str">
        <f t="shared" si="106"/>
        <v>1+0.0172867131078534i</v>
      </c>
      <c r="AK154" s="32">
        <f t="shared" si="121"/>
        <v>1.0001494040642493</v>
      </c>
      <c r="AL154" s="32">
        <f t="shared" si="122"/>
        <v>1.7284991484440855E-2</v>
      </c>
      <c r="AM154" s="32" t="str">
        <f t="shared" si="107"/>
        <v>1+0.373825170957331i</v>
      </c>
      <c r="AN154" s="32">
        <f t="shared" si="123"/>
        <v>1.0675885248733605</v>
      </c>
      <c r="AO154" s="32">
        <f t="shared" si="124"/>
        <v>0.3577402855480637</v>
      </c>
      <c r="AP154" s="61" t="str">
        <f t="shared" si="125"/>
        <v>-0.142000579606747+0.400849372095465i</v>
      </c>
      <c r="AQ154" s="52">
        <f t="shared" si="126"/>
        <v>-7.4269497409154548</v>
      </c>
      <c r="AR154" s="64">
        <f t="shared" si="127"/>
        <v>109.506651462731</v>
      </c>
      <c r="AS154" s="61" t="str">
        <f t="shared" si="128"/>
        <v>17.7143152242326+23.3093404514501i</v>
      </c>
      <c r="AT154" s="67">
        <f t="shared" si="129"/>
        <v>29.330428025956962</v>
      </c>
      <c r="AU154" s="64">
        <f t="shared" si="130"/>
        <v>52.766386840131403</v>
      </c>
    </row>
    <row r="155" spans="14:47" x14ac:dyDescent="0.25">
      <c r="N155" s="11">
        <v>37</v>
      </c>
      <c r="O155" s="53">
        <f t="shared" si="98"/>
        <v>234.42288153199232</v>
      </c>
      <c r="P155" s="51" t="str">
        <f t="shared" si="99"/>
        <v>122.692307692308</v>
      </c>
      <c r="Q155" s="18" t="str">
        <f t="shared" si="100"/>
        <v>1+1.50974546503122i</v>
      </c>
      <c r="R155" s="18">
        <f t="shared" si="108"/>
        <v>1.8108924234151333</v>
      </c>
      <c r="S155" s="18">
        <f t="shared" si="109"/>
        <v>0.98577889195419099</v>
      </c>
      <c r="T155" s="18" t="str">
        <f t="shared" si="101"/>
        <v>1+0.000301949093006245i</v>
      </c>
      <c r="U155" s="18">
        <f t="shared" si="110"/>
        <v>1.0000000455866263</v>
      </c>
      <c r="V155" s="18">
        <f t="shared" si="111"/>
        <v>3.0194908382968498E-4</v>
      </c>
      <c r="W155" s="32" t="str">
        <f t="shared" si="102"/>
        <v>1-0.014303172113781i</v>
      </c>
      <c r="X155" s="18">
        <f t="shared" si="112"/>
        <v>1.0001022851351338</v>
      </c>
      <c r="Y155" s="18">
        <f t="shared" si="113"/>
        <v>-1.4302196849014313E-2</v>
      </c>
      <c r="Z155" s="32" t="str">
        <f t="shared" si="103"/>
        <v>0.99999820558082+0.00152632150717262i</v>
      </c>
      <c r="AA155" s="18">
        <f t="shared" si="114"/>
        <v>0.99999937041090337</v>
      </c>
      <c r="AB155" s="18">
        <f t="shared" si="115"/>
        <v>1.5263230607646958E-3</v>
      </c>
      <c r="AC155" s="69" t="str">
        <f t="shared" si="116"/>
        <v>36.5360814924747-57.0652937393252i</v>
      </c>
      <c r="AD155" s="67">
        <f t="shared" si="117"/>
        <v>36.619387924355841</v>
      </c>
      <c r="AE155" s="64">
        <f t="shared" si="118"/>
        <v>-57.370577020695698</v>
      </c>
      <c r="AF155" s="32" t="str">
        <f t="shared" si="104"/>
        <v>-0.0000198412698412698</v>
      </c>
      <c r="AG155" s="32" t="str">
        <f t="shared" si="105"/>
        <v>0.0000509631152098346i</v>
      </c>
      <c r="AH155" s="32">
        <f t="shared" si="119"/>
        <v>5.0963115209834599E-5</v>
      </c>
      <c r="AI155" s="32">
        <f t="shared" si="120"/>
        <v>1.5707963267948966</v>
      </c>
      <c r="AJ155" s="32" t="str">
        <f t="shared" si="106"/>
        <v>1+0.0176893723828342i</v>
      </c>
      <c r="AK155" s="32">
        <f t="shared" si="121"/>
        <v>1.0001564447101756</v>
      </c>
      <c r="AL155" s="32">
        <f t="shared" si="122"/>
        <v>1.7687527645695578E-2</v>
      </c>
      <c r="AM155" s="32" t="str">
        <f t="shared" si="107"/>
        <v>1+0.382532677778789i</v>
      </c>
      <c r="AN155" s="32">
        <f t="shared" si="123"/>
        <v>1.0706685993194209</v>
      </c>
      <c r="AO155" s="32">
        <f t="shared" si="124"/>
        <v>0.36535825209280781</v>
      </c>
      <c r="AP155" s="61" t="str">
        <f t="shared" si="125"/>
        <v>-0.141998580374948+0.391837945217386i</v>
      </c>
      <c r="AQ155" s="52">
        <f t="shared" si="126"/>
        <v>-7.6019875105703143</v>
      </c>
      <c r="AR155" s="64">
        <f t="shared" si="127"/>
        <v>109.92006517107531</v>
      </c>
      <c r="AS155" s="61" t="str">
        <f t="shared" si="128"/>
        <v>17.1722757376489+22.4194137979698i</v>
      </c>
      <c r="AT155" s="67">
        <f t="shared" si="129"/>
        <v>29.017400413785509</v>
      </c>
      <c r="AU155" s="64">
        <f t="shared" si="130"/>
        <v>52.549488150379595</v>
      </c>
    </row>
    <row r="156" spans="14:47" x14ac:dyDescent="0.25">
      <c r="N156" s="11">
        <v>38</v>
      </c>
      <c r="O156" s="53">
        <f t="shared" si="98"/>
        <v>239.88329190194912</v>
      </c>
      <c r="P156" s="51" t="str">
        <f t="shared" si="99"/>
        <v>122.692307692308</v>
      </c>
      <c r="Q156" s="18" t="str">
        <f t="shared" si="100"/>
        <v>1+1.5449119544941i</v>
      </c>
      <c r="R156" s="18">
        <f t="shared" si="108"/>
        <v>1.8403132741842567</v>
      </c>
      <c r="S156" s="18">
        <f t="shared" si="109"/>
        <v>0.99633132648059208</v>
      </c>
      <c r="T156" s="18" t="str">
        <f t="shared" si="101"/>
        <v>1+0.000308982390898821i</v>
      </c>
      <c r="U156" s="18">
        <f t="shared" si="110"/>
        <v>1.0000000477350577</v>
      </c>
      <c r="V156" s="18">
        <f t="shared" si="111"/>
        <v>3.0898238106595978E-4</v>
      </c>
      <c r="W156" s="32" t="str">
        <f t="shared" si="102"/>
        <v>1-0.0146363357914177i</v>
      </c>
      <c r="X156" s="18">
        <f t="shared" si="112"/>
        <v>1.0001071054269133</v>
      </c>
      <c r="Y156" s="18">
        <f t="shared" si="113"/>
        <v>-1.4635290782436779E-2</v>
      </c>
      <c r="Z156" s="32" t="str">
        <f t="shared" si="103"/>
        <v>0.99999812101245+0.00156187410225714i</v>
      </c>
      <c r="AA156" s="18">
        <f t="shared" si="114"/>
        <v>0.99999934073935359</v>
      </c>
      <c r="AB156" s="18">
        <f t="shared" si="115"/>
        <v>1.5618757669610503E-3</v>
      </c>
      <c r="AC156" s="69" t="str">
        <f t="shared" si="116"/>
        <v>35.337169756295-56.5423021183212i</v>
      </c>
      <c r="AD156" s="67">
        <f t="shared" si="117"/>
        <v>36.479447924734721</v>
      </c>
      <c r="AE156" s="64">
        <f t="shared" si="118"/>
        <v>-57.995905900980858</v>
      </c>
      <c r="AF156" s="32" t="str">
        <f t="shared" si="104"/>
        <v>-0.0000198412698412698</v>
      </c>
      <c r="AG156" s="32" t="str">
        <f t="shared" si="105"/>
        <v>0.0000521501986590205i</v>
      </c>
      <c r="AH156" s="32">
        <f t="shared" si="119"/>
        <v>5.2150198659020502E-5</v>
      </c>
      <c r="AI156" s="32">
        <f t="shared" si="120"/>
        <v>1.5707963267948966</v>
      </c>
      <c r="AJ156" s="32" t="str">
        <f t="shared" si="106"/>
        <v>1+0.018101410797199i</v>
      </c>
      <c r="AK156" s="32">
        <f t="shared" si="121"/>
        <v>1.0001638171184002</v>
      </c>
      <c r="AL156" s="32">
        <f t="shared" si="122"/>
        <v>1.8099434143227358E-2</v>
      </c>
      <c r="AM156" s="32" t="str">
        <f t="shared" si="107"/>
        <v>1+0.391443008489428i</v>
      </c>
      <c r="AN156" s="32">
        <f t="shared" si="123"/>
        <v>1.07388436476897</v>
      </c>
      <c r="AO156" s="32">
        <f t="shared" si="124"/>
        <v>0.37310796448736794</v>
      </c>
      <c r="AP156" s="61" t="str">
        <f t="shared" si="125"/>
        <v>-0.141996486982595+0.383034272671239i</v>
      </c>
      <c r="AQ156" s="52">
        <f t="shared" si="126"/>
        <v>-7.7760024666229564</v>
      </c>
      <c r="AR156" s="64">
        <f t="shared" si="127"/>
        <v>110.34049047986129</v>
      </c>
      <c r="AS156" s="61" t="str">
        <f t="shared" si="128"/>
        <v>16.6398856017471+21.5641553825727i</v>
      </c>
      <c r="AT156" s="67">
        <f t="shared" si="129"/>
        <v>28.703445458111755</v>
      </c>
      <c r="AU156" s="64">
        <f t="shared" si="130"/>
        <v>52.344584578880479</v>
      </c>
    </row>
    <row r="157" spans="14:47" x14ac:dyDescent="0.25">
      <c r="N157" s="11">
        <v>39</v>
      </c>
      <c r="O157" s="53">
        <f t="shared" si="98"/>
        <v>245.4708915685033</v>
      </c>
      <c r="P157" s="51" t="str">
        <f t="shared" si="99"/>
        <v>122.692307692308</v>
      </c>
      <c r="Q157" s="18" t="str">
        <f t="shared" si="100"/>
        <v>1+1.58089757672458i</v>
      </c>
      <c r="R157" s="18">
        <f t="shared" si="108"/>
        <v>1.8706248015285294</v>
      </c>
      <c r="S157" s="18">
        <f t="shared" si="109"/>
        <v>1.0067847483898074</v>
      </c>
      <c r="T157" s="18" t="str">
        <f t="shared" si="101"/>
        <v>1+0.000316179515344916i</v>
      </c>
      <c r="U157" s="18">
        <f t="shared" si="110"/>
        <v>1.0000000499847417</v>
      </c>
      <c r="V157" s="18">
        <f t="shared" si="111"/>
        <v>3.1617950480881539E-4</v>
      </c>
      <c r="W157" s="32" t="str">
        <f t="shared" si="102"/>
        <v>1-0.0149772598480257i</v>
      </c>
      <c r="X157" s="18">
        <f t="shared" si="112"/>
        <v>1.0001121528671448</v>
      </c>
      <c r="Y157" s="18">
        <f t="shared" si="113"/>
        <v>-1.4976140107510215E-2</v>
      </c>
      <c r="Z157" s="32" t="str">
        <f t="shared" si="103"/>
        <v>0.999998032458495+0.00159825482366452i</v>
      </c>
      <c r="AA157" s="18">
        <f t="shared" si="114"/>
        <v>0.99999930966943296</v>
      </c>
      <c r="AB157" s="18">
        <f t="shared" si="115"/>
        <v>1.5982566074269082E-3</v>
      </c>
      <c r="AC157" s="69" t="str">
        <f t="shared" si="116"/>
        <v>34.1606502316339-55.9993846660589i</v>
      </c>
      <c r="AD157" s="67">
        <f t="shared" si="117"/>
        <v>36.337593462709464</v>
      </c>
      <c r="AE157" s="64">
        <f t="shared" si="118"/>
        <v>-58.616044189423775</v>
      </c>
      <c r="AF157" s="32" t="str">
        <f t="shared" si="104"/>
        <v>-0.0000198412698412698</v>
      </c>
      <c r="AG157" s="32" t="str">
        <f t="shared" si="105"/>
        <v>0.0000533649328338249i</v>
      </c>
      <c r="AH157" s="32">
        <f t="shared" si="119"/>
        <v>5.33649328338249E-5</v>
      </c>
      <c r="AI157" s="32">
        <f t="shared" si="120"/>
        <v>1.5707963267948966</v>
      </c>
      <c r="AJ157" s="32" t="str">
        <f t="shared" si="106"/>
        <v>1+0.0185230468191689i</v>
      </c>
      <c r="AK157" s="32">
        <f t="shared" si="121"/>
        <v>1.0001715369192752</v>
      </c>
      <c r="AL157" s="32">
        <f t="shared" si="122"/>
        <v>1.8520928815897116E-2</v>
      </c>
      <c r="AM157" s="32" t="str">
        <f t="shared" si="107"/>
        <v>1+0.400560887464527i</v>
      </c>
      <c r="AN157" s="32">
        <f t="shared" si="123"/>
        <v>1.0772413956798956</v>
      </c>
      <c r="AO157" s="32">
        <f t="shared" si="124"/>
        <v>0.38098980725104686</v>
      </c>
      <c r="AP157" s="61" t="str">
        <f t="shared" si="125"/>
        <v>-0.141994294997853+0.374433686395083i</v>
      </c>
      <c r="AQ157" s="52">
        <f t="shared" si="126"/>
        <v>-7.9489592167866618</v>
      </c>
      <c r="AR157" s="64">
        <f t="shared" si="127"/>
        <v>110.76793693917455</v>
      </c>
      <c r="AS157" s="61" t="str">
        <f t="shared" si="128"/>
        <v>16.1174385900596+20.7424913418543i</v>
      </c>
      <c r="AT157" s="67">
        <f t="shared" si="129"/>
        <v>28.388634245922781</v>
      </c>
      <c r="AU157" s="64">
        <f t="shared" si="130"/>
        <v>52.151892749750765</v>
      </c>
    </row>
    <row r="158" spans="14:47" x14ac:dyDescent="0.25">
      <c r="N158" s="11">
        <v>40</v>
      </c>
      <c r="O158" s="53">
        <f t="shared" si="98"/>
        <v>251.18864315095806</v>
      </c>
      <c r="P158" s="51" t="str">
        <f t="shared" si="99"/>
        <v>122.692307692308</v>
      </c>
      <c r="Q158" s="18" t="str">
        <f t="shared" si="100"/>
        <v>1+1.61772141177589i</v>
      </c>
      <c r="R158" s="18">
        <f t="shared" si="108"/>
        <v>1.9018471458343278</v>
      </c>
      <c r="S158" s="18">
        <f t="shared" si="109"/>
        <v>1.0171355616686595</v>
      </c>
      <c r="T158" s="18" t="str">
        <f t="shared" si="101"/>
        <v>1+0.000323544282355179i</v>
      </c>
      <c r="U158" s="18">
        <f t="shared" si="110"/>
        <v>1.00000005234045</v>
      </c>
      <c r="V158" s="18">
        <f t="shared" si="111"/>
        <v>3.2354427106554386E-4</v>
      </c>
      <c r="W158" s="32" t="str">
        <f t="shared" si="102"/>
        <v>1-0.0153261250460526i</v>
      </c>
      <c r="X158" s="18">
        <f t="shared" si="112"/>
        <v>1.0001174381586031</v>
      </c>
      <c r="Y158" s="18">
        <f t="shared" si="113"/>
        <v>-1.5324925230082505E-2</v>
      </c>
      <c r="Z158" s="32" t="str">
        <f t="shared" si="103"/>
        <v>0.99999793973112+0.00163548296093483i</v>
      </c>
      <c r="AA158" s="18">
        <f t="shared" si="114"/>
        <v>0.99999927713523884</v>
      </c>
      <c r="AB158" s="18">
        <f t="shared" si="115"/>
        <v>1.635484872270678E-3</v>
      </c>
      <c r="AC158" s="69" t="str">
        <f t="shared" si="116"/>
        <v>33.007113473751-55.4376767952423i</v>
      </c>
      <c r="AD158" s="67">
        <f t="shared" si="117"/>
        <v>36.193861247319013</v>
      </c>
      <c r="AE158" s="64">
        <f t="shared" si="118"/>
        <v>-59.230797072740778</v>
      </c>
      <c r="AF158" s="32" t="str">
        <f t="shared" si="104"/>
        <v>-0.0000198412698412698</v>
      </c>
      <c r="AG158" s="32" t="str">
        <f t="shared" si="105"/>
        <v>0.0000546079618023861i</v>
      </c>
      <c r="AH158" s="32">
        <f t="shared" si="119"/>
        <v>5.4607961802386101E-5</v>
      </c>
      <c r="AI158" s="32">
        <f t="shared" si="120"/>
        <v>1.5707963267948966</v>
      </c>
      <c r="AJ158" s="32" t="str">
        <f t="shared" si="106"/>
        <v>1+0.0189545040057439i</v>
      </c>
      <c r="AK158" s="32">
        <f t="shared" si="121"/>
        <v>1.0001796204792937</v>
      </c>
      <c r="AL158" s="32">
        <f t="shared" si="122"/>
        <v>1.8952234546361565E-2</v>
      </c>
      <c r="AM158" s="32" t="str">
        <f t="shared" si="107"/>
        <v>1+0.409891149124212i</v>
      </c>
      <c r="AN158" s="32">
        <f t="shared" si="123"/>
        <v>1.0807454622298291</v>
      </c>
      <c r="AO158" s="32">
        <f t="shared" si="124"/>
        <v>0.38900404123041027</v>
      </c>
      <c r="AP158" s="61" t="str">
        <f t="shared" si="125"/>
        <v>-0.141991999780587+0.366031625988981i</v>
      </c>
      <c r="AQ158" s="52">
        <f t="shared" si="126"/>
        <v>-8.120821681096043</v>
      </c>
      <c r="AR158" s="64">
        <f t="shared" si="127"/>
        <v>111.202406724187</v>
      </c>
      <c r="AS158" s="61" t="str">
        <f t="shared" si="128"/>
        <v>15.6051969292915+19.9533540053462i</v>
      </c>
      <c r="AT158" s="67">
        <f t="shared" si="129"/>
        <v>28.073039566222985</v>
      </c>
      <c r="AU158" s="64">
        <f t="shared" si="130"/>
        <v>51.971609651446222</v>
      </c>
    </row>
    <row r="159" spans="14:47" x14ac:dyDescent="0.25">
      <c r="N159" s="11">
        <v>41</v>
      </c>
      <c r="O159" s="53">
        <f t="shared" si="98"/>
        <v>257.03957827688663</v>
      </c>
      <c r="P159" s="51" t="str">
        <f t="shared" si="99"/>
        <v>122.692307692308</v>
      </c>
      <c r="Q159" s="18" t="str">
        <f t="shared" si="100"/>
        <v>1+1.65540298413279i</v>
      </c>
      <c r="R159" s="18">
        <f t="shared" si="108"/>
        <v>1.934000785903601</v>
      </c>
      <c r="S159" s="18">
        <f t="shared" si="109"/>
        <v>1.0273803822785332</v>
      </c>
      <c r="T159" s="18" t="str">
        <f t="shared" si="101"/>
        <v>1+0.000331080596826559i</v>
      </c>
      <c r="U159" s="18">
        <f t="shared" si="110"/>
        <v>1.0000000548071792</v>
      </c>
      <c r="V159" s="18">
        <f t="shared" si="111"/>
        <v>3.3108058472949706E-4</v>
      </c>
      <c r="W159" s="32" t="str">
        <f t="shared" si="102"/>
        <v>1-0.0156831163584442i</v>
      </c>
      <c r="X159" s="18">
        <f t="shared" si="112"/>
        <v>1.0001229725082375</v>
      </c>
      <c r="Y159" s="18">
        <f t="shared" si="113"/>
        <v>-1.568183074100693E-2</v>
      </c>
      <c r="Z159" s="32" t="str">
        <f t="shared" si="103"/>
        <v>0.999997842633639+0.00167357825291918i</v>
      </c>
      <c r="AA159" s="18">
        <f t="shared" si="114"/>
        <v>0.999999243067764</v>
      </c>
      <c r="AB159" s="18">
        <f t="shared" si="115"/>
        <v>1.6735803009524537E-3</v>
      </c>
      <c r="AC159" s="69" t="str">
        <f t="shared" si="116"/>
        <v>31.8770794442165-54.858324475657i</v>
      </c>
      <c r="AD159" s="67">
        <f t="shared" si="117"/>
        <v>36.048288887821947</v>
      </c>
      <c r="AE159" s="64">
        <f t="shared" si="118"/>
        <v>-59.839982143332421</v>
      </c>
      <c r="AF159" s="32" t="str">
        <f t="shared" si="104"/>
        <v>-0.0000198412698412698</v>
      </c>
      <c r="AG159" s="32" t="str">
        <f t="shared" si="105"/>
        <v>0.0000558799446351168i</v>
      </c>
      <c r="AH159" s="32">
        <f t="shared" si="119"/>
        <v>5.5879944635116797E-5</v>
      </c>
      <c r="AI159" s="32">
        <f t="shared" si="120"/>
        <v>1.5707963267948966</v>
      </c>
      <c r="AJ159" s="32" t="str">
        <f t="shared" si="106"/>
        <v>1+0.0193960111212352i</v>
      </c>
      <c r="AK159" s="32">
        <f t="shared" si="121"/>
        <v>1.0001880849357361</v>
      </c>
      <c r="AL159" s="32">
        <f t="shared" si="122"/>
        <v>1.9393579376391797E-2</v>
      </c>
      <c r="AM159" s="32" t="str">
        <f t="shared" si="107"/>
        <v>1+0.41943874049671i</v>
      </c>
      <c r="AN159" s="32">
        <f t="shared" si="123"/>
        <v>1.0844025345919597</v>
      </c>
      <c r="AO159" s="32">
        <f t="shared" si="124"/>
        <v>0.39715079673350823</v>
      </c>
      <c r="AP159" s="61" t="str">
        <f t="shared" si="125"/>
        <v>-0.141989596472589+0.357823636295807i</v>
      </c>
      <c r="AQ159" s="52">
        <f t="shared" si="126"/>
        <v>-8.2915531234402096</v>
      </c>
      <c r="AR159" s="64">
        <f t="shared" si="127"/>
        <v>111.64389423516883</v>
      </c>
      <c r="AS159" s="61" t="str">
        <f t="shared" si="128"/>
        <v>15.1033914979659+19.1956838366808i</v>
      </c>
      <c r="AT159" s="67">
        <f t="shared" si="129"/>
        <v>27.756735764381748</v>
      </c>
      <c r="AU159" s="64">
        <f t="shared" si="130"/>
        <v>51.803912091836473</v>
      </c>
    </row>
    <row r="160" spans="14:47" x14ac:dyDescent="0.25">
      <c r="N160" s="11">
        <v>42</v>
      </c>
      <c r="O160" s="53">
        <f t="shared" si="98"/>
        <v>263.02679918953817</v>
      </c>
      <c r="P160" s="51" t="str">
        <f t="shared" si="99"/>
        <v>122.692307692308</v>
      </c>
      <c r="Q160" s="18" t="str">
        <f t="shared" si="100"/>
        <v>1+1.69396227306373i</v>
      </c>
      <c r="R160" s="18">
        <f t="shared" si="108"/>
        <v>1.9671065508922589</v>
      </c>
      <c r="S160" s="18">
        <f t="shared" si="109"/>
        <v>1.0375160396609515</v>
      </c>
      <c r="T160" s="18" t="str">
        <f t="shared" si="101"/>
        <v>1+0.000338792454612747i</v>
      </c>
      <c r="U160" s="18">
        <f t="shared" si="110"/>
        <v>1.000000057390162</v>
      </c>
      <c r="V160" s="18">
        <f t="shared" si="111"/>
        <v>3.387924416505116E-4</v>
      </c>
      <c r="W160" s="32" t="str">
        <f t="shared" si="102"/>
        <v>1-0.0160484230667196i</v>
      </c>
      <c r="X160" s="18">
        <f t="shared" si="112"/>
        <v>1.0001287676509103</v>
      </c>
      <c r="Y160" s="18">
        <f t="shared" si="113"/>
        <v>-1.6047045512395407E-2</v>
      </c>
      <c r="Z160" s="32" t="str">
        <f t="shared" si="103"/>
        <v>0.999997740960095+0.00171256089824566i</v>
      </c>
      <c r="AA160" s="18">
        <f t="shared" si="114"/>
        <v>0.99999920739474746</v>
      </c>
      <c r="AB160" s="18">
        <f t="shared" si="115"/>
        <v>1.7125630927528656E-3</v>
      </c>
      <c r="AC160" s="69" t="str">
        <f t="shared" si="116"/>
        <v>30.7709983455145-54.2624793600073i</v>
      </c>
      <c r="AD160" s="67">
        <f t="shared" si="117"/>
        <v>35.900914780624845</v>
      </c>
      <c r="AE160" s="64">
        <f t="shared" si="118"/>
        <v>-60.443429491541927</v>
      </c>
      <c r="AF160" s="32" t="str">
        <f t="shared" si="104"/>
        <v>-0.0000198412698412698</v>
      </c>
      <c r="AG160" s="32" t="str">
        <f t="shared" si="105"/>
        <v>0.0000571815557541515i</v>
      </c>
      <c r="AH160" s="32">
        <f t="shared" si="119"/>
        <v>5.71815557541515E-5</v>
      </c>
      <c r="AI160" s="32">
        <f t="shared" si="120"/>
        <v>1.5707963267948966</v>
      </c>
      <c r="AJ160" s="32" t="str">
        <f t="shared" si="106"/>
        <v>1+0.0198478022585595i</v>
      </c>
      <c r="AK160" s="32">
        <f t="shared" si="121"/>
        <v>1.0001969482329442</v>
      </c>
      <c r="AL160" s="32">
        <f t="shared" si="122"/>
        <v>1.9845196624724434E-2</v>
      </c>
      <c r="AM160" s="32" t="str">
        <f t="shared" si="107"/>
        <v>1+0.429208723841349i</v>
      </c>
      <c r="AN160" s="32">
        <f t="shared" si="123"/>
        <v>1.0882187871110844</v>
      </c>
      <c r="AO160" s="32">
        <f t="shared" si="124"/>
        <v>0.40543006665225451</v>
      </c>
      <c r="AP160" s="61" t="str">
        <f t="shared" si="125"/>
        <v>-0.141987079987371+0.349805365037763i</v>
      </c>
      <c r="AQ160" s="52">
        <f t="shared" si="126"/>
        <v>-8.4611161874049312</v>
      </c>
      <c r="AR160" s="64">
        <f t="shared" si="127"/>
        <v>112.09238569667792</v>
      </c>
      <c r="AS160" s="61" t="str">
        <f t="shared" si="128"/>
        <v>14.6122221970056+18.4684313060315i</v>
      </c>
      <c r="AT160" s="67">
        <f t="shared" si="129"/>
        <v>27.439798593219908</v>
      </c>
      <c r="AU160" s="64">
        <f t="shared" si="130"/>
        <v>51.64895620513596</v>
      </c>
    </row>
    <row r="161" spans="14:47" x14ac:dyDescent="0.25">
      <c r="N161" s="11">
        <v>43</v>
      </c>
      <c r="O161" s="53">
        <f t="shared" si="98"/>
        <v>269.15348039269179</v>
      </c>
      <c r="P161" s="51" t="str">
        <f t="shared" si="99"/>
        <v>122.692307692308</v>
      </c>
      <c r="Q161" s="18" t="str">
        <f t="shared" si="100"/>
        <v>1+1.7334197232141i</v>
      </c>
      <c r="R161" s="18">
        <f t="shared" si="108"/>
        <v>2.0011856327756421</v>
      </c>
      <c r="S161" s="18">
        <f t="shared" si="109"/>
        <v>1.0475395773558636</v>
      </c>
      <c r="T161" s="18" t="str">
        <f t="shared" si="101"/>
        <v>1+0.00034668394464282i</v>
      </c>
      <c r="U161" s="18">
        <f t="shared" si="110"/>
        <v>1.0000000600948769</v>
      </c>
      <c r="V161" s="18">
        <f t="shared" si="111"/>
        <v>3.466839307535346E-4</v>
      </c>
      <c r="W161" s="32" t="str">
        <f t="shared" si="102"/>
        <v>1-0.016422238861331i</v>
      </c>
      <c r="X161" s="18">
        <f t="shared" si="112"/>
        <v>1.0001348358742528</v>
      </c>
      <c r="Y161" s="18">
        <f t="shared" si="113"/>
        <v>-1.6420762796026233E-2</v>
      </c>
      <c r="Z161" s="32" t="str">
        <f t="shared" si="103"/>
        <v>0.999997634494824+0.00175245156602883i</v>
      </c>
      <c r="AA161" s="18">
        <f t="shared" si="114"/>
        <v>0.99999917004052297</v>
      </c>
      <c r="AB161" s="18">
        <f t="shared" si="115"/>
        <v>1.7524539174856837E-3</v>
      </c>
      <c r="AC161" s="69" t="str">
        <f t="shared" si="116"/>
        <v>29.6892518149297-53.6512941097635i</v>
      </c>
      <c r="AD161" s="67">
        <f t="shared" si="117"/>
        <v>35.751777997860273</v>
      </c>
      <c r="AE161" s="64">
        <f t="shared" si="118"/>
        <v>-61.040981747212641</v>
      </c>
      <c r="AF161" s="32" t="str">
        <f t="shared" si="104"/>
        <v>-0.0000198412698412698</v>
      </c>
      <c r="AG161" s="32" t="str">
        <f t="shared" si="105"/>
        <v>0.0000585134852909345i</v>
      </c>
      <c r="AH161" s="32">
        <f t="shared" si="119"/>
        <v>5.85134852909345E-5</v>
      </c>
      <c r="AI161" s="32">
        <f t="shared" si="120"/>
        <v>1.5707963267948966</v>
      </c>
      <c r="AJ161" s="32" t="str">
        <f t="shared" si="106"/>
        <v>1+0.0203101169633581i</v>
      </c>
      <c r="AK161" s="32">
        <f t="shared" si="121"/>
        <v>1.0002062291602993</v>
      </c>
      <c r="AL161" s="32">
        <f t="shared" si="122"/>
        <v>2.0307325007491828E-2</v>
      </c>
      <c r="AM161" s="32" t="str">
        <f t="shared" si="107"/>
        <v>1+0.439206279332619i</v>
      </c>
      <c r="AN161" s="32">
        <f t="shared" si="123"/>
        <v>1.0922006023644204</v>
      </c>
      <c r="AO161" s="32">
        <f t="shared" si="124"/>
        <v>0.41384169960648959</v>
      </c>
      <c r="AP161" s="61" t="str">
        <f t="shared" si="125"/>
        <v>-0.141984444999461+0.341972560507347i</v>
      </c>
      <c r="AQ161" s="52">
        <f t="shared" si="126"/>
        <v>-8.6294729365872769</v>
      </c>
      <c r="AR161" s="64">
        <f t="shared" si="127"/>
        <v>112.54785875784295</v>
      </c>
      <c r="AS161" s="61" t="str">
        <f t="shared" si="128"/>
        <v>14.1318584798565+17.7705586803765i</v>
      </c>
      <c r="AT161" s="67">
        <f t="shared" si="129"/>
        <v>27.122305061272982</v>
      </c>
      <c r="AU161" s="64">
        <f t="shared" si="130"/>
        <v>51.506877010630333</v>
      </c>
    </row>
    <row r="162" spans="14:47" x14ac:dyDescent="0.25">
      <c r="N162" s="11">
        <v>44</v>
      </c>
      <c r="O162" s="53">
        <f t="shared" si="98"/>
        <v>275.42287033381683</v>
      </c>
      <c r="P162" s="51" t="str">
        <f t="shared" si="99"/>
        <v>122.692307692308</v>
      </c>
      <c r="Q162" s="18" t="str">
        <f t="shared" si="100"/>
        <v>1+1.77379625544624i</v>
      </c>
      <c r="R162" s="18">
        <f t="shared" si="108"/>
        <v>2.0362595993230093</v>
      </c>
      <c r="S162" s="18">
        <f t="shared" si="109"/>
        <v>1.0574482527722859</v>
      </c>
      <c r="T162" s="18" t="str">
        <f t="shared" si="101"/>
        <v>1+0.000354759251089248i</v>
      </c>
      <c r="U162" s="18">
        <f t="shared" si="110"/>
        <v>1.0000000629270611</v>
      </c>
      <c r="V162" s="18">
        <f t="shared" si="111"/>
        <v>3.547592362066106E-4</v>
      </c>
      <c r="W162" s="32" t="str">
        <f t="shared" si="102"/>
        <v>1-0.0168047619443607i</v>
      </c>
      <c r="X162" s="18">
        <f t="shared" si="112"/>
        <v>1.000141190044689</v>
      </c>
      <c r="Y162" s="18">
        <f t="shared" si="113"/>
        <v>-1.6803180323949667E-2</v>
      </c>
      <c r="Z162" s="32" t="str">
        <f t="shared" si="103"/>
        <v>0.999997523012+0.00179327140682873i</v>
      </c>
      <c r="AA162" s="18">
        <f t="shared" si="114"/>
        <v>0.99999913092585935</v>
      </c>
      <c r="AB162" s="18">
        <f t="shared" si="115"/>
        <v>1.7932739264601631E-3</v>
      </c>
      <c r="AC162" s="69" t="str">
        <f t="shared" si="116"/>
        <v>28.6321544477704-53.0259179469381i</v>
      </c>
      <c r="AD162" s="67">
        <f t="shared" si="117"/>
        <v>35.600918178171867</v>
      </c>
      <c r="AE162" s="64">
        <f t="shared" si="118"/>
        <v>-61.632494072813749</v>
      </c>
      <c r="AF162" s="32" t="str">
        <f t="shared" si="104"/>
        <v>-0.0000198412698412698</v>
      </c>
      <c r="AG162" s="32" t="str">
        <f t="shared" si="105"/>
        <v>0.0000598764394521363i</v>
      </c>
      <c r="AH162" s="32">
        <f t="shared" si="119"/>
        <v>5.9876439452136302E-5</v>
      </c>
      <c r="AI162" s="32">
        <f t="shared" si="120"/>
        <v>1.5707963267948966</v>
      </c>
      <c r="AJ162" s="32" t="str">
        <f t="shared" si="106"/>
        <v>1+0.0207832003610068i</v>
      </c>
      <c r="AK162" s="32">
        <f t="shared" si="121"/>
        <v>1.0002159473919849</v>
      </c>
      <c r="AL162" s="32">
        <f t="shared" si="122"/>
        <v>2.0780208761279752E-2</v>
      </c>
      <c r="AM162" s="32" t="str">
        <f t="shared" si="107"/>
        <v>1+0.449436707806773i</v>
      </c>
      <c r="AN162" s="32">
        <f t="shared" si="123"/>
        <v>1.096354575091558</v>
      </c>
      <c r="AO162" s="32">
        <f t="shared" si="124"/>
        <v>0.4223853931462907</v>
      </c>
      <c r="AP162" s="61" t="str">
        <f t="shared" si="125"/>
        <v>-0.141981685933216+0.334321069311545i</v>
      </c>
      <c r="AQ162" s="52">
        <f t="shared" si="126"/>
        <v>-8.7965848995289857</v>
      </c>
      <c r="AR162" s="64">
        <f t="shared" si="127"/>
        <v>113.01028209583434</v>
      </c>
      <c r="AS162" s="61" t="str">
        <f t="shared" si="128"/>
        <v>13.6624400288519+17.1010417199346i</v>
      </c>
      <c r="AT162" s="67">
        <f t="shared" si="129"/>
        <v>26.804333278642893</v>
      </c>
      <c r="AU162" s="64">
        <f t="shared" si="130"/>
        <v>51.377788023020706</v>
      </c>
    </row>
    <row r="163" spans="14:47" x14ac:dyDescent="0.25">
      <c r="N163" s="11">
        <v>45</v>
      </c>
      <c r="O163" s="53">
        <f t="shared" si="98"/>
        <v>281.83829312644554</v>
      </c>
      <c r="P163" s="51" t="str">
        <f t="shared" si="99"/>
        <v>122.692307692308</v>
      </c>
      <c r="Q163" s="18" t="str">
        <f t="shared" si="100"/>
        <v>1+1.81511327793198i</v>
      </c>
      <c r="R163" s="18">
        <f t="shared" si="108"/>
        <v>2.0723504075626251</v>
      </c>
      <c r="S163" s="18">
        <f t="shared" si="109"/>
        <v>1.0672395361553568</v>
      </c>
      <c r="T163" s="18" t="str">
        <f t="shared" si="101"/>
        <v>1+0.000363022655586396i</v>
      </c>
      <c r="U163" s="18">
        <f t="shared" si="110"/>
        <v>1.0000000658927222</v>
      </c>
      <c r="V163" s="18">
        <f t="shared" si="111"/>
        <v>3.6302263963936275E-4</v>
      </c>
      <c r="W163" s="32" t="str">
        <f t="shared" si="102"/>
        <v>1-0.0171961951346106i</v>
      </c>
      <c r="X163" s="18">
        <f t="shared" si="112"/>
        <v>1.0001478436346836</v>
      </c>
      <c r="Y163" s="18">
        <f t="shared" si="113"/>
        <v>-1.7194500411336581E-2</v>
      </c>
      <c r="Z163" s="32" t="str">
        <f t="shared" si="103"/>
        <v>0.999997406275152+0.00183504206386529i</v>
      </c>
      <c r="AA163" s="18">
        <f t="shared" si="114"/>
        <v>0.99999908996778963</v>
      </c>
      <c r="AB163" s="18">
        <f t="shared" si="115"/>
        <v>1.8350447636990342E-3</v>
      </c>
      <c r="AC163" s="69" t="str">
        <f t="shared" si="116"/>
        <v>27.5999556184724-52.3874924536167i</v>
      </c>
      <c r="AD163" s="67">
        <f t="shared" si="117"/>
        <v>35.448375420211889</v>
      </c>
      <c r="AE163" s="64">
        <f t="shared" si="118"/>
        <v>-62.217834110665613</v>
      </c>
      <c r="AF163" s="32" t="str">
        <f t="shared" si="104"/>
        <v>-0.0000198412698412698</v>
      </c>
      <c r="AG163" s="32" t="str">
        <f t="shared" si="105"/>
        <v>0.0000612711408940939i</v>
      </c>
      <c r="AH163" s="32">
        <f t="shared" si="119"/>
        <v>6.1271140894093894E-5</v>
      </c>
      <c r="AI163" s="32">
        <f t="shared" si="120"/>
        <v>1.5707963267948966</v>
      </c>
      <c r="AJ163" s="32" t="str">
        <f t="shared" si="106"/>
        <v>1+0.0212673032865851i</v>
      </c>
      <c r="AK163" s="32">
        <f t="shared" si="121"/>
        <v>1.0002261235286167</v>
      </c>
      <c r="AL163" s="32">
        <f t="shared" si="122"/>
        <v>2.1264097768862324E-2</v>
      </c>
      <c r="AM163" s="32" t="str">
        <f t="shared" si="107"/>
        <v>1+0.459905433572404i</v>
      </c>
      <c r="AN163" s="32">
        <f t="shared" si="123"/>
        <v>1.1006875159778187</v>
      </c>
      <c r="AO163" s="32">
        <f t="shared" si="124"/>
        <v>0.43106068705191036</v>
      </c>
      <c r="AP163" s="61" t="str">
        <f t="shared" si="125"/>
        <v>-0.141978796951112+0.326846834168055i</v>
      </c>
      <c r="AQ163" s="52">
        <f t="shared" si="126"/>
        <v>-8.9624131193948955</v>
      </c>
      <c r="AR163" s="64">
        <f t="shared" si="127"/>
        <v>113.47961502477466</v>
      </c>
      <c r="AS163" s="61" t="str">
        <f t="shared" si="128"/>
        <v>13.2040775638527+16.4588712709265i</v>
      </c>
      <c r="AT163" s="67">
        <f t="shared" si="129"/>
        <v>26.485962300817</v>
      </c>
      <c r="AU163" s="64">
        <f t="shared" si="130"/>
        <v>51.261780914109067</v>
      </c>
    </row>
    <row r="164" spans="14:47" x14ac:dyDescent="0.25">
      <c r="N164" s="11">
        <v>46</v>
      </c>
      <c r="O164" s="53">
        <f t="shared" si="98"/>
        <v>288.40315031266073</v>
      </c>
      <c r="P164" s="51" t="str">
        <f t="shared" si="99"/>
        <v>122.692307692308</v>
      </c>
      <c r="Q164" s="18" t="str">
        <f t="shared" si="100"/>
        <v>1+1.85739269750354i</v>
      </c>
      <c r="R164" s="18">
        <f t="shared" si="108"/>
        <v>2.1094804177188937</v>
      </c>
      <c r="S164" s="18">
        <f t="shared" si="109"/>
        <v>1.0769111087975303</v>
      </c>
      <c r="T164" s="18" t="str">
        <f t="shared" si="101"/>
        <v>1+0.000371478539500708i</v>
      </c>
      <c r="U164" s="18">
        <f t="shared" si="110"/>
        <v>1.0000000689981503</v>
      </c>
      <c r="V164" s="18">
        <f t="shared" si="111"/>
        <v>3.7147852241315409E-4</v>
      </c>
      <c r="W164" s="32" t="str">
        <f t="shared" si="102"/>
        <v>1-0.0175967459751394i</v>
      </c>
      <c r="X164" s="18">
        <f t="shared" si="112"/>
        <v>1.0001548107512723</v>
      </c>
      <c r="Y164" s="18">
        <f t="shared" si="113"/>
        <v>-1.7594930061614826E-2</v>
      </c>
      <c r="Z164" s="32" t="str">
        <f t="shared" si="103"/>
        <v>0.999997284036666+0.00187778568449377i</v>
      </c>
      <c r="AA164" s="18">
        <f t="shared" si="114"/>
        <v>0.99999904707943865</v>
      </c>
      <c r="AB164" s="18">
        <f t="shared" si="115"/>
        <v>1.8777885774177716E-3</v>
      </c>
      <c r="AC164" s="69" t="str">
        <f t="shared" si="116"/>
        <v>26.5928415671814-51.7371476370109i</v>
      </c>
      <c r="AD164" s="67">
        <f t="shared" si="117"/>
        <v>35.294190179306653</v>
      </c>
      <c r="AE164" s="64">
        <f t="shared" si="118"/>
        <v>-62.796881887000602</v>
      </c>
      <c r="AF164" s="32" t="str">
        <f t="shared" si="104"/>
        <v>-0.0000198412698412698</v>
      </c>
      <c r="AG164" s="32" t="str">
        <f t="shared" si="105"/>
        <v>0.000062698329105973i</v>
      </c>
      <c r="AH164" s="32">
        <f t="shared" si="119"/>
        <v>6.2698329105972999E-5</v>
      </c>
      <c r="AI164" s="32">
        <f t="shared" si="120"/>
        <v>1.5707963267948966</v>
      </c>
      <c r="AJ164" s="32" t="str">
        <f t="shared" si="106"/>
        <v>1+0.021762682417872i</v>
      </c>
      <c r="AK164" s="32">
        <f t="shared" si="121"/>
        <v>1.0002367791408298</v>
      </c>
      <c r="AL164" s="32">
        <f t="shared" si="122"/>
        <v>2.1759247687661347E-2</v>
      </c>
      <c r="AM164" s="32" t="str">
        <f t="shared" si="107"/>
        <v>1+0.470618007286483i</v>
      </c>
      <c r="AN164" s="32">
        <f t="shared" si="123"/>
        <v>1.1052064552753482</v>
      </c>
      <c r="AO164" s="32">
        <f t="shared" si="124"/>
        <v>0.43986695677353205</v>
      </c>
      <c r="AP164" s="61" t="str">
        <f t="shared" si="125"/>
        <v>-0.141975771941482+0.319545891752341i</v>
      </c>
      <c r="AQ164" s="52">
        <f t="shared" si="126"/>
        <v>-9.1269182085004239</v>
      </c>
      <c r="AR164" s="64">
        <f t="shared" si="127"/>
        <v>113.95580711250386</v>
      </c>
      <c r="AS164" s="61" t="str">
        <f t="shared" si="128"/>
        <v>12.7568537687731+15.8430547466287i</v>
      </c>
      <c r="AT164" s="67">
        <f t="shared" si="129"/>
        <v>26.16727197080623</v>
      </c>
      <c r="AU164" s="64">
        <f t="shared" si="130"/>
        <v>51.158925225503104</v>
      </c>
    </row>
    <row r="165" spans="14:47" x14ac:dyDescent="0.25">
      <c r="N165" s="11">
        <v>47</v>
      </c>
      <c r="O165" s="53">
        <f t="shared" si="98"/>
        <v>295.12092266663871</v>
      </c>
      <c r="P165" s="51" t="str">
        <f t="shared" si="99"/>
        <v>122.692307692308</v>
      </c>
      <c r="Q165" s="18" t="str">
        <f t="shared" si="100"/>
        <v>1+1.90065693126882i</v>
      </c>
      <c r="R165" s="18">
        <f t="shared" si="108"/>
        <v>2.1476724076032192</v>
      </c>
      <c r="S165" s="18">
        <f t="shared" si="109"/>
        <v>1.0864608605445727</v>
      </c>
      <c r="T165" s="18" t="str">
        <f t="shared" si="101"/>
        <v>1+0.000380131386253764i</v>
      </c>
      <c r="U165" s="18">
        <f t="shared" si="110"/>
        <v>1.0000000722499327</v>
      </c>
      <c r="V165" s="18">
        <f t="shared" si="111"/>
        <v>3.8013136794412018E-4</v>
      </c>
      <c r="W165" s="32" t="str">
        <f t="shared" si="102"/>
        <v>1-0.0180066268433047i</v>
      </c>
      <c r="X165" s="18">
        <f t="shared" si="112"/>
        <v>1.0001621061659325</v>
      </c>
      <c r="Y165" s="18">
        <f t="shared" si="113"/>
        <v>-1.8004681073939013E-2</v>
      </c>
      <c r="Z165" s="32" t="str">
        <f t="shared" si="103"/>
        <v>0.999997156037257+0.00192152493194759i</v>
      </c>
      <c r="AA165" s="18">
        <f t="shared" si="114"/>
        <v>0.99999900216983528</v>
      </c>
      <c r="AB165" s="18">
        <f t="shared" si="115"/>
        <v>1.9215280317715347E-3</v>
      </c>
      <c r="AC165" s="69" t="str">
        <f t="shared" si="116"/>
        <v>25.6109377189574-51.0759982738165i</v>
      </c>
      <c r="AD165" s="67">
        <f t="shared" si="117"/>
        <v>35.138403167693049</v>
      </c>
      <c r="AE165" s="64">
        <f t="shared" si="118"/>
        <v>-63.369529675764142</v>
      </c>
      <c r="AF165" s="32" t="str">
        <f t="shared" si="104"/>
        <v>-0.0000198412698412698</v>
      </c>
      <c r="AG165" s="32" t="str">
        <f t="shared" si="105"/>
        <v>0.0000641587608018546i</v>
      </c>
      <c r="AH165" s="32">
        <f t="shared" si="119"/>
        <v>6.4158760801854599E-5</v>
      </c>
      <c r="AI165" s="32">
        <f t="shared" si="120"/>
        <v>1.5707963267948966</v>
      </c>
      <c r="AJ165" s="32" t="str">
        <f t="shared" si="106"/>
        <v>1+0.02226960041144i</v>
      </c>
      <c r="AK165" s="32">
        <f t="shared" si="121"/>
        <v>1.0002479368149104</v>
      </c>
      <c r="AL165" s="32">
        <f t="shared" si="122"/>
        <v>2.22659200809802E-2</v>
      </c>
      <c r="AM165" s="32" t="str">
        <f t="shared" si="107"/>
        <v>1+0.48158010889739i</v>
      </c>
      <c r="AN165" s="32">
        <f t="shared" si="123"/>
        <v>1.1099186462464814</v>
      </c>
      <c r="AO165" s="32">
        <f t="shared" si="124"/>
        <v>0.4488034070557137</v>
      </c>
      <c r="AP165" s="61" t="str">
        <f t="shared" si="125"/>
        <v>-0.141972604505696+0.31241437059439i</v>
      </c>
      <c r="AQ165" s="52">
        <f t="shared" si="126"/>
        <v>-9.2900604077640399</v>
      </c>
      <c r="AR165" s="64">
        <f t="shared" si="127"/>
        <v>114.43879780776859</v>
      </c>
      <c r="AS165" s="61" t="str">
        <f t="shared" si="128"/>
        <v>12.320824321401+15.2526174904624i</v>
      </c>
      <c r="AT165" s="67">
        <f t="shared" si="129"/>
        <v>25.848342759929036</v>
      </c>
      <c r="AU165" s="64">
        <f t="shared" si="130"/>
        <v>51.069268132004495</v>
      </c>
    </row>
    <row r="166" spans="14:47" x14ac:dyDescent="0.25">
      <c r="N166" s="11">
        <v>48</v>
      </c>
      <c r="O166" s="53">
        <f t="shared" si="98"/>
        <v>301.99517204020168</v>
      </c>
      <c r="P166" s="51" t="str">
        <f t="shared" si="99"/>
        <v>122.692307692308</v>
      </c>
      <c r="Q166" s="18" t="str">
        <f t="shared" si="100"/>
        <v>1+1.94492891849722i</v>
      </c>
      <c r="R166" s="18">
        <f t="shared" si="108"/>
        <v>2.1869495874406355</v>
      </c>
      <c r="S166" s="18">
        <f t="shared" si="109"/>
        <v>1.0958868866492268</v>
      </c>
      <c r="T166" s="18" t="str">
        <f t="shared" si="101"/>
        <v>1+0.000388985783699445i</v>
      </c>
      <c r="U166" s="18">
        <f t="shared" si="110"/>
        <v>1.0000000756549672</v>
      </c>
      <c r="V166" s="18">
        <f t="shared" si="111"/>
        <v>3.8898576408030831E-4</v>
      </c>
      <c r="W166" s="32" t="str">
        <f t="shared" si="102"/>
        <v>1-0.0184260550633682i</v>
      </c>
      <c r="X166" s="18">
        <f t="shared" si="112"/>
        <v>1.000169745345858</v>
      </c>
      <c r="Y166" s="18">
        <f t="shared" si="113"/>
        <v>-1.8423970153039732E-2</v>
      </c>
      <c r="Z166" s="32" t="str">
        <f t="shared" si="103"/>
        <v>0.999997022005423+0.00196628299735472i</v>
      </c>
      <c r="AA166" s="18">
        <f t="shared" si="114"/>
        <v>0.99999895514372428</v>
      </c>
      <c r="AB166" s="18">
        <f t="shared" si="115"/>
        <v>1.9662863188759485E-3</v>
      </c>
      <c r="AC166" s="69" t="str">
        <f t="shared" si="116"/>
        <v>24.6543112027481-50.4051405438019i</v>
      </c>
      <c r="AD166" s="67">
        <f t="shared" si="117"/>
        <v>34.981055258674267</v>
      </c>
      <c r="AE166" s="64">
        <f t="shared" si="118"/>
        <v>-63.935681825189967</v>
      </c>
      <c r="AF166" s="32" t="str">
        <f t="shared" si="104"/>
        <v>-0.0000198412698412698</v>
      </c>
      <c r="AG166" s="32" t="str">
        <f t="shared" si="105"/>
        <v>0.000065653210321955i</v>
      </c>
      <c r="AH166" s="32">
        <f t="shared" si="119"/>
        <v>6.5653210321955005E-5</v>
      </c>
      <c r="AI166" s="32">
        <f t="shared" si="120"/>
        <v>1.5707963267948966</v>
      </c>
      <c r="AJ166" s="32" t="str">
        <f t="shared" si="106"/>
        <v>1+0.0227883260419191i</v>
      </c>
      <c r="AK166" s="32">
        <f t="shared" si="121"/>
        <v>1.0002596202005722</v>
      </c>
      <c r="AL166" s="32">
        <f t="shared" si="122"/>
        <v>2.2784382552060917E-2</v>
      </c>
      <c r="AM166" s="32" t="str">
        <f t="shared" si="107"/>
        <v>1+0.492797550656502i</v>
      </c>
      <c r="AN166" s="32">
        <f t="shared" si="123"/>
        <v>1.1148315684142818</v>
      </c>
      <c r="AO166" s="32">
        <f t="shared" si="124"/>
        <v>0.45786906579386782</v>
      </c>
      <c r="AP166" s="61" t="str">
        <f t="shared" si="125"/>
        <v>-0.141969287944732+0.305448489024047i</v>
      </c>
      <c r="AQ166" s="52">
        <f t="shared" si="126"/>
        <v>-9.4517996511317151</v>
      </c>
      <c r="AR166" s="64">
        <f t="shared" si="127"/>
        <v>114.92851608054181</v>
      </c>
      <c r="AS166" s="61" t="str">
        <f t="shared" si="128"/>
        <v>11.896019011927+14.6866040165657i</v>
      </c>
      <c r="AT166" s="67">
        <f t="shared" si="129"/>
        <v>25.529255607542524</v>
      </c>
      <c r="AU166" s="64">
        <f t="shared" si="130"/>
        <v>50.992834255351887</v>
      </c>
    </row>
    <row r="167" spans="14:47" x14ac:dyDescent="0.25">
      <c r="N167" s="11">
        <v>49</v>
      </c>
      <c r="O167" s="53">
        <f t="shared" si="98"/>
        <v>309.02954325135937</v>
      </c>
      <c r="P167" s="51" t="str">
        <f t="shared" si="99"/>
        <v>122.692307692308</v>
      </c>
      <c r="Q167" s="18" t="str">
        <f t="shared" si="100"/>
        <v>1+1.99023213278239i</v>
      </c>
      <c r="R167" s="18">
        <f t="shared" si="108"/>
        <v>2.2273356151149608</v>
      </c>
      <c r="S167" s="18">
        <f t="shared" si="109"/>
        <v>1.1051874840269273</v>
      </c>
      <c r="T167" s="18" t="str">
        <f t="shared" si="101"/>
        <v>1+0.000398046426556479i</v>
      </c>
      <c r="U167" s="18">
        <f t="shared" si="110"/>
        <v>1.0000000792204757</v>
      </c>
      <c r="V167" s="18">
        <f t="shared" si="111"/>
        <v>3.980464055341953E-4</v>
      </c>
      <c r="W167" s="32" t="str">
        <f t="shared" si="102"/>
        <v>1-0.018855253021724i</v>
      </c>
      <c r="X167" s="18">
        <f t="shared" si="112"/>
        <v>1.0001777444867055</v>
      </c>
      <c r="Y167" s="18">
        <f t="shared" si="113"/>
        <v>-1.8853019021499114E-2</v>
      </c>
      <c r="Z167" s="32" t="str">
        <f t="shared" si="103"/>
        <v>0.999996881656862+0.00201208361203388i</v>
      </c>
      <c r="AA167" s="18">
        <f t="shared" si="114"/>
        <v>0.99999890590135643</v>
      </c>
      <c r="AB167" s="18">
        <f t="shared" si="115"/>
        <v>2.0120871711080341E-3</v>
      </c>
      <c r="AC167" s="69" t="str">
        <f t="shared" si="116"/>
        <v>23.7229735377258-49.7256489589004i</v>
      </c>
      <c r="AD167" s="67">
        <f t="shared" si="117"/>
        <v>34.822187394992227</v>
      </c>
      <c r="AE167" s="64">
        <f t="shared" si="118"/>
        <v>-64.495254550266239</v>
      </c>
      <c r="AF167" s="32" t="str">
        <f t="shared" si="104"/>
        <v>-0.0000198412698412698</v>
      </c>
      <c r="AG167" s="32" t="str">
        <f t="shared" si="105"/>
        <v>0.0000671824700431911i</v>
      </c>
      <c r="AH167" s="32">
        <f t="shared" si="119"/>
        <v>6.7182470043191105E-5</v>
      </c>
      <c r="AI167" s="32">
        <f t="shared" si="120"/>
        <v>1.5707963267948966</v>
      </c>
      <c r="AJ167" s="32" t="str">
        <f t="shared" si="106"/>
        <v>1+0.0233191343445049i</v>
      </c>
      <c r="AK167" s="32">
        <f t="shared" si="121"/>
        <v>1.0002718540609732</v>
      </c>
      <c r="AL167" s="32">
        <f t="shared" si="122"/>
        <v>2.3314908881013945E-2</v>
      </c>
      <c r="AM167" s="32" t="str">
        <f t="shared" si="107"/>
        <v>1+0.504276280199918i</v>
      </c>
      <c r="AN167" s="32">
        <f t="shared" si="123"/>
        <v>1.1199529306056868</v>
      </c>
      <c r="AO167" s="32">
        <f t="shared" si="124"/>
        <v>0.46706277817237163</v>
      </c>
      <c r="AP167" s="61" t="str">
        <f t="shared" si="125"/>
        <v>-0.141965815245142+0.298644553163815i</v>
      </c>
      <c r="AQ167" s="52">
        <f t="shared" si="126"/>
        <v>-9.6120956349864723</v>
      </c>
      <c r="AR167" s="64">
        <f t="shared" si="127"/>
        <v>115.42488007831763</v>
      </c>
      <c r="AS167" s="61" t="str">
        <f t="shared" si="128"/>
        <v>11.4824429357894+14.1440791249352i</v>
      </c>
      <c r="AT167" s="67">
        <f t="shared" si="129"/>
        <v>25.210091760005771</v>
      </c>
      <c r="AU167" s="64">
        <f t="shared" si="130"/>
        <v>50.929625528051361</v>
      </c>
    </row>
    <row r="168" spans="14:47" x14ac:dyDescent="0.25">
      <c r="N168" s="11">
        <v>50</v>
      </c>
      <c r="O168" s="53">
        <f t="shared" si="98"/>
        <v>316.22776601683825</v>
      </c>
      <c r="P168" s="51" t="str">
        <f t="shared" si="99"/>
        <v>122.692307692308</v>
      </c>
      <c r="Q168" s="18" t="str">
        <f t="shared" si="100"/>
        <v>1+2.0365905944882i</v>
      </c>
      <c r="R168" s="18">
        <f t="shared" si="108"/>
        <v>2.2688546118157946</v>
      </c>
      <c r="S168" s="18">
        <f t="shared" si="109"/>
        <v>1.114361146968738</v>
      </c>
      <c r="T168" s="18" t="str">
        <f t="shared" si="101"/>
        <v>1+0.00040731811889764i</v>
      </c>
      <c r="U168" s="18">
        <f t="shared" si="110"/>
        <v>1.0000000829540217</v>
      </c>
      <c r="V168" s="18">
        <f t="shared" si="111"/>
        <v>4.0731809637185726E-4</v>
      </c>
      <c r="W168" s="32" t="str">
        <f t="shared" si="102"/>
        <v>1-0.0192944482848107i</v>
      </c>
      <c r="X168" s="18">
        <f t="shared" si="112"/>
        <v>1.0001861205468785</v>
      </c>
      <c r="Y168" s="18">
        <f t="shared" si="113"/>
        <v>-1.9292054534499309E-2</v>
      </c>
      <c r="Z168" s="32" t="str">
        <f t="shared" si="103"/>
        <v>0.999996734693878+0.00205895106007721i</v>
      </c>
      <c r="AA168" s="18">
        <f t="shared" si="114"/>
        <v>0.99999885433828661</v>
      </c>
      <c r="AB168" s="18">
        <f t="shared" si="115"/>
        <v>2.0589548736939123E-3</v>
      </c>
      <c r="AC168" s="69" t="str">
        <f t="shared" si="116"/>
        <v>22.8168834553954-49.0385735906442i</v>
      </c>
      <c r="AD168" s="67">
        <f t="shared" si="117"/>
        <v>34.661840501661459</v>
      </c>
      <c r="AE168" s="64">
        <f t="shared" si="118"/>
        <v>-65.048175694258518</v>
      </c>
      <c r="AF168" s="32" t="str">
        <f t="shared" si="104"/>
        <v>-0.0000198412698412698</v>
      </c>
      <c r="AG168" s="32" t="str">
        <f t="shared" si="105"/>
        <v>0.0000687473507993091i</v>
      </c>
      <c r="AH168" s="32">
        <f t="shared" si="119"/>
        <v>6.87473507993091E-5</v>
      </c>
      <c r="AI168" s="32">
        <f t="shared" si="120"/>
        <v>1.5707963267948966</v>
      </c>
      <c r="AJ168" s="32" t="str">
        <f t="shared" si="106"/>
        <v>1+0.0238623067607853i</v>
      </c>
      <c r="AK168" s="32">
        <f t="shared" si="121"/>
        <v>1.000284664325084</v>
      </c>
      <c r="AL168" s="32">
        <f t="shared" si="122"/>
        <v>2.3857779164668618E-2</v>
      </c>
      <c r="AM168" s="32" t="str">
        <f t="shared" si="107"/>
        <v>1+0.516022383701981i</v>
      </c>
      <c r="AN168" s="32">
        <f t="shared" si="123"/>
        <v>1.1252906737734363</v>
      </c>
      <c r="AO168" s="32">
        <f t="shared" si="124"/>
        <v>0.47638320113590144</v>
      </c>
      <c r="AP168" s="61" t="str">
        <f t="shared" si="125"/>
        <v>-0.141962179064347+0.291998954968045i</v>
      </c>
      <c r="AQ168" s="52">
        <f t="shared" si="126"/>
        <v>-9.7709078925198227</v>
      </c>
      <c r="AR168" s="64">
        <f t="shared" si="127"/>
        <v>115.92779680132831</v>
      </c>
      <c r="AS168" s="61" t="str">
        <f t="shared" si="128"/>
        <v>11.0800777468065+13.6241288897383i</v>
      </c>
      <c r="AT168" s="67">
        <f t="shared" si="129"/>
        <v>24.890932609141622</v>
      </c>
      <c r="AU168" s="64">
        <f t="shared" si="130"/>
        <v>50.879621107069752</v>
      </c>
    </row>
    <row r="169" spans="14:47" x14ac:dyDescent="0.25">
      <c r="N169" s="11">
        <v>51</v>
      </c>
      <c r="O169" s="53">
        <f t="shared" si="98"/>
        <v>323.59365692962825</v>
      </c>
      <c r="P169" s="51" t="str">
        <f t="shared" si="99"/>
        <v>122.692307692308</v>
      </c>
      <c r="Q169" s="18" t="str">
        <f t="shared" si="100"/>
        <v>1+2.08402888348467i</v>
      </c>
      <c r="R169" s="18">
        <f t="shared" si="108"/>
        <v>2.3115311780718772</v>
      </c>
      <c r="S169" s="18">
        <f t="shared" si="109"/>
        <v>1.1234065623669838</v>
      </c>
      <c r="T169" s="18" t="str">
        <f t="shared" si="101"/>
        <v>1+0.000416805776696934i</v>
      </c>
      <c r="U169" s="18">
        <f t="shared" si="110"/>
        <v>1.0000000868635239</v>
      </c>
      <c r="V169" s="18">
        <f t="shared" si="111"/>
        <v>4.1680575256012307E-4</v>
      </c>
      <c r="W169" s="32" t="str">
        <f t="shared" si="102"/>
        <v>1-0.0197438737197702i</v>
      </c>
      <c r="X169" s="18">
        <f t="shared" si="112"/>
        <v>1.0001948912834249</v>
      </c>
      <c r="Y169" s="18">
        <f t="shared" si="113"/>
        <v>-1.9741308797091902E-2</v>
      </c>
      <c r="Z169" s="32" t="str">
        <f t="shared" si="103"/>
        <v>0.999996580804741+0.00210691019122604i</v>
      </c>
      <c r="AA169" s="18">
        <f t="shared" si="114"/>
        <v>0.99999880034514377</v>
      </c>
      <c r="AB169" s="18">
        <f t="shared" si="115"/>
        <v>2.1069142775900032E-3</v>
      </c>
      <c r="AC169" s="69" t="str">
        <f t="shared" si="116"/>
        <v>21.9359498270277-48.3449375956093i</v>
      </c>
      <c r="AD169" s="67">
        <f t="shared" si="117"/>
        <v>34.500055403459243</v>
      </c>
      <c r="AE169" s="64">
        <f t="shared" si="118"/>
        <v>-65.594384462469677</v>
      </c>
      <c r="AF169" s="32" t="str">
        <f t="shared" si="104"/>
        <v>-0.0000198412698412698</v>
      </c>
      <c r="AG169" s="32" t="str">
        <f t="shared" si="105"/>
        <v>0.0000703486823107996i</v>
      </c>
      <c r="AH169" s="32">
        <f t="shared" si="119"/>
        <v>7.0348682310799601E-5</v>
      </c>
      <c r="AI169" s="32">
        <f t="shared" si="120"/>
        <v>1.5707963267948966</v>
      </c>
      <c r="AJ169" s="32" t="str">
        <f t="shared" si="106"/>
        <v>1+0.0244181312879652i</v>
      </c>
      <c r="AK169" s="32">
        <f t="shared" si="121"/>
        <v>1.0002980781425086</v>
      </c>
      <c r="AL169" s="32">
        <f t="shared" si="122"/>
        <v>2.441327995939534E-2</v>
      </c>
      <c r="AM169" s="32" t="str">
        <f t="shared" si="107"/>
        <v>1+0.528042089102247i</v>
      </c>
      <c r="AN169" s="32">
        <f t="shared" si="123"/>
        <v>1.1308529735838631</v>
      </c>
      <c r="AO169" s="32">
        <f t="shared" si="124"/>
        <v>0.48582879824717506</v>
      </c>
      <c r="AP169" s="61" t="str">
        <f t="shared" si="125"/>
        <v>-0.141958371715268+0.285508170307501i</v>
      </c>
      <c r="AQ169" s="52">
        <f t="shared" si="126"/>
        <v>-9.9281958730001936</v>
      </c>
      <c r="AR169" s="64">
        <f t="shared" si="127"/>
        <v>116.43716179973137</v>
      </c>
      <c r="AS169" s="61" t="str">
        <f t="shared" si="128"/>
        <v>10.6888829570801+13.1258615208208i</v>
      </c>
      <c r="AT169" s="67">
        <f t="shared" si="129"/>
        <v>24.571859530459079</v>
      </c>
      <c r="AU169" s="64">
        <f t="shared" si="130"/>
        <v>50.842777337261701</v>
      </c>
    </row>
    <row r="170" spans="14:47" x14ac:dyDescent="0.25">
      <c r="N170" s="11">
        <v>52</v>
      </c>
      <c r="O170" s="53">
        <f t="shared" si="98"/>
        <v>331.13112148259137</v>
      </c>
      <c r="P170" s="51" t="str">
        <f t="shared" si="99"/>
        <v>122.692307692308</v>
      </c>
      <c r="Q170" s="18" t="str">
        <f t="shared" si="100"/>
        <v>1+2.13257215218055i</v>
      </c>
      <c r="R170" s="18">
        <f t="shared" si="108"/>
        <v>2.3553904101562404</v>
      </c>
      <c r="S170" s="18">
        <f t="shared" si="109"/>
        <v>1.1323226045086596</v>
      </c>
      <c r="T170" s="18" t="str">
        <f t="shared" si="101"/>
        <v>1+0.000426514430436111i</v>
      </c>
      <c r="U170" s="18">
        <f t="shared" si="110"/>
        <v>1.0000000909572755</v>
      </c>
      <c r="V170" s="18">
        <f t="shared" si="111"/>
        <v>4.2651440457305227E-4</v>
      </c>
      <c r="W170" s="32" t="str">
        <f t="shared" si="102"/>
        <v>1-0.020203767617917i</v>
      </c>
      <c r="X170" s="18">
        <f t="shared" si="112"/>
        <v>1.0002040752896175</v>
      </c>
      <c r="Y170" s="18">
        <f t="shared" si="113"/>
        <v>-2.0201019284035816E-2</v>
      </c>
      <c r="Z170" s="32" t="str">
        <f t="shared" si="103"/>
        <v>0.999996419663033+0.00215598643404652i</v>
      </c>
      <c r="AA170" s="18">
        <f t="shared" si="114"/>
        <v>0.99999874380740517</v>
      </c>
      <c r="AB170" s="18">
        <f t="shared" si="115"/>
        <v>2.1559908126644435E-3</v>
      </c>
      <c r="AC170" s="69" t="str">
        <f t="shared" si="116"/>
        <v>21.0800346674035-47.6457350356629i</v>
      </c>
      <c r="AD170" s="67">
        <f t="shared" si="117"/>
        <v>34.336872747219729</v>
      </c>
      <c r="AE170" s="64">
        <f t="shared" si="118"/>
        <v>-66.13383113139605</v>
      </c>
      <c r="AF170" s="32" t="str">
        <f t="shared" si="104"/>
        <v>-0.0000198412698412698</v>
      </c>
      <c r="AG170" s="32" t="str">
        <f t="shared" si="105"/>
        <v>0.0000719873136248264i</v>
      </c>
      <c r="AH170" s="32">
        <f t="shared" si="119"/>
        <v>7.19873136248264E-5</v>
      </c>
      <c r="AI170" s="32">
        <f t="shared" si="120"/>
        <v>1.5707963267948966</v>
      </c>
      <c r="AJ170" s="32" t="str">
        <f t="shared" si="106"/>
        <v>1+0.0249869026315663i</v>
      </c>
      <c r="AK170" s="32">
        <f t="shared" si="121"/>
        <v>1.0003121239408825</v>
      </c>
      <c r="AL170" s="32">
        <f t="shared" si="122"/>
        <v>2.4981704426946343E-2</v>
      </c>
      <c r="AM170" s="32" t="str">
        <f t="shared" si="107"/>
        <v>1+0.540341769407621i</v>
      </c>
      <c r="AN170" s="32">
        <f t="shared" si="123"/>
        <v>1.1366482427587519</v>
      </c>
      <c r="AO170" s="32">
        <f t="shared" si="124"/>
        <v>0.49539783498553269</v>
      </c>
      <c r="AP170" s="61" t="str">
        <f t="shared" si="125"/>
        <v>-0.141954385150235+0.279168757098224i</v>
      </c>
      <c r="AQ170" s="52">
        <f t="shared" si="126"/>
        <v>-10.083919025832934</v>
      </c>
      <c r="AR170" s="64">
        <f t="shared" si="127"/>
        <v>116.95285889588206</v>
      </c>
      <c r="AS170" s="61" t="str">
        <f t="shared" si="128"/>
        <v>10.3087972707804+12.648408099705i</v>
      </c>
      <c r="AT170" s="67">
        <f t="shared" si="129"/>
        <v>24.252953721386771</v>
      </c>
      <c r="AU170" s="64">
        <f t="shared" si="130"/>
        <v>50.81902776448598</v>
      </c>
    </row>
    <row r="171" spans="14:47" x14ac:dyDescent="0.25">
      <c r="N171" s="11">
        <v>53</v>
      </c>
      <c r="O171" s="53">
        <f t="shared" si="98"/>
        <v>338.84415613920277</v>
      </c>
      <c r="P171" s="51" t="str">
        <f t="shared" si="99"/>
        <v>122.692307692308</v>
      </c>
      <c r="Q171" s="18" t="str">
        <f t="shared" si="100"/>
        <v>1+2.18224613885944i</v>
      </c>
      <c r="R171" s="18">
        <f t="shared" si="108"/>
        <v>2.4004579168498115</v>
      </c>
      <c r="S171" s="18">
        <f t="shared" si="109"/>
        <v>1.1411083294908784</v>
      </c>
      <c r="T171" s="18" t="str">
        <f t="shared" si="101"/>
        <v>1+0.000436449227771888i</v>
      </c>
      <c r="U171" s="18">
        <f t="shared" si="110"/>
        <v>1.0000000952439596</v>
      </c>
      <c r="V171" s="18">
        <f t="shared" si="111"/>
        <v>4.3644920005912139E-4</v>
      </c>
      <c r="W171" s="32" t="str">
        <f t="shared" si="102"/>
        <v>1-0.0206743738210832i</v>
      </c>
      <c r="X171" s="18">
        <f t="shared" si="112"/>
        <v>1.0002136920343041</v>
      </c>
      <c r="Y171" s="18">
        <f t="shared" si="113"/>
        <v>-2.0671428962251753E-2</v>
      </c>
      <c r="Z171" s="32" t="str">
        <f t="shared" si="103"/>
        <v>0.99999625092695+0.00220620580941217i</v>
      </c>
      <c r="AA171" s="18">
        <f t="shared" si="114"/>
        <v>0.9999986846051494</v>
      </c>
      <c r="AB171" s="18">
        <f t="shared" si="115"/>
        <v>2.2062105011858594E-3</v>
      </c>
      <c r="AC171" s="69" t="str">
        <f t="shared" si="116"/>
        <v>20.2489561875038-46.9419289872129i</v>
      </c>
      <c r="AD171" s="67">
        <f t="shared" si="117"/>
        <v>34.172332929032009</v>
      </c>
      <c r="AE171" s="64">
        <f t="shared" si="118"/>
        <v>-66.666476736392639</v>
      </c>
      <c r="AF171" s="32" t="str">
        <f t="shared" si="104"/>
        <v>-0.0000198412698412698</v>
      </c>
      <c r="AG171" s="32" t="str">
        <f t="shared" si="105"/>
        <v>0.0000736641135654017i</v>
      </c>
      <c r="AH171" s="32">
        <f t="shared" si="119"/>
        <v>7.3664113565401703E-5</v>
      </c>
      <c r="AI171" s="32">
        <f t="shared" si="120"/>
        <v>1.5707963267948966</v>
      </c>
      <c r="AJ171" s="32" t="str">
        <f t="shared" si="106"/>
        <v>1+0.0255689223616832i</v>
      </c>
      <c r="AK171" s="32">
        <f t="shared" si="121"/>
        <v>1.0003268314859588</v>
      </c>
      <c r="AL171" s="32">
        <f t="shared" si="122"/>
        <v>2.5563352483363659E-2</v>
      </c>
      <c r="AM171" s="32" t="str">
        <f t="shared" si="107"/>
        <v>1+0.5529279460714i</v>
      </c>
      <c r="AN171" s="32">
        <f t="shared" si="123"/>
        <v>1.1426851331608094</v>
      </c>
      <c r="AO171" s="32">
        <f t="shared" si="124"/>
        <v>0.5050883745415401</v>
      </c>
      <c r="AP171" s="61" t="str">
        <f t="shared" si="125"/>
        <v>-0.141950210944156+0.272977353473712i</v>
      </c>
      <c r="AQ171" s="52">
        <f t="shared" si="126"/>
        <v>-10.238036889258606</v>
      </c>
      <c r="AR171" s="64">
        <f t="shared" si="127"/>
        <v>117.47475993485106</v>
      </c>
      <c r="AS171" s="61" t="str">
        <f t="shared" si="128"/>
        <v>9.93973993966516+12.1909231925304i</v>
      </c>
      <c r="AT171" s="67">
        <f t="shared" si="129"/>
        <v>23.934296039773404</v>
      </c>
      <c r="AU171" s="64">
        <f t="shared" si="130"/>
        <v>50.808283198458469</v>
      </c>
    </row>
    <row r="172" spans="14:47" x14ac:dyDescent="0.25">
      <c r="N172" s="11">
        <v>54</v>
      </c>
      <c r="O172" s="53">
        <f t="shared" si="98"/>
        <v>346.73685045253183</v>
      </c>
      <c r="P172" s="51" t="str">
        <f t="shared" si="99"/>
        <v>122.692307692308</v>
      </c>
      <c r="Q172" s="18" t="str">
        <f t="shared" si="100"/>
        <v>1+2.2330771813266i</v>
      </c>
      <c r="R172" s="18">
        <f t="shared" si="108"/>
        <v>2.4467598365515064</v>
      </c>
      <c r="S172" s="18">
        <f t="shared" si="109"/>
        <v>1.1497629693113407</v>
      </c>
      <c r="T172" s="18" t="str">
        <f t="shared" si="101"/>
        <v>1+0.00044661543626532i</v>
      </c>
      <c r="U172" s="18">
        <f t="shared" si="110"/>
        <v>1.000000099732669</v>
      </c>
      <c r="V172" s="18">
        <f t="shared" si="111"/>
        <v>4.4661540657055579E-4</v>
      </c>
      <c r="W172" s="32" t="str">
        <f t="shared" si="102"/>
        <v>1-0.0211559418509072i</v>
      </c>
      <c r="X172" s="18">
        <f t="shared" si="112"/>
        <v>1.0002237619031049</v>
      </c>
      <c r="Y172" s="18">
        <f t="shared" si="113"/>
        <v>-2.1152786415942634E-2</v>
      </c>
      <c r="Z172" s="32" t="str">
        <f t="shared" si="103"/>
        <v>0.999996074238581+0.00225759494430056i</v>
      </c>
      <c r="AA172" s="18">
        <f t="shared" si="114"/>
        <v>0.99999862261280448</v>
      </c>
      <c r="AB172" s="18">
        <f t="shared" si="115"/>
        <v>2.2575999716267043E-3</v>
      </c>
      <c r="AC172" s="69" t="str">
        <f t="shared" si="116"/>
        <v>19.4424918706277-46.2344499314058i</v>
      </c>
      <c r="AD172" s="67">
        <f t="shared" si="117"/>
        <v>34.006476026402424</v>
      </c>
      <c r="AE172" s="64">
        <f t="shared" si="118"/>
        <v>-67.192292740885634</v>
      </c>
      <c r="AF172" s="32" t="str">
        <f t="shared" si="104"/>
        <v>-0.0000198412698412698</v>
      </c>
      <c r="AG172" s="32" t="str">
        <f t="shared" si="105"/>
        <v>0.0000753799711940492i</v>
      </c>
      <c r="AH172" s="32">
        <f t="shared" si="119"/>
        <v>7.5379971194049198E-5</v>
      </c>
      <c r="AI172" s="32">
        <f t="shared" si="120"/>
        <v>1.5707963267948966</v>
      </c>
      <c r="AJ172" s="32" t="str">
        <f t="shared" si="106"/>
        <v>1+0.0261644990728811i</v>
      </c>
      <c r="AK172" s="32">
        <f t="shared" si="121"/>
        <v>1.0003422319445154</v>
      </c>
      <c r="AL172" s="32">
        <f t="shared" si="122"/>
        <v>2.615853095100484E-2</v>
      </c>
      <c r="AM172" s="32" t="str">
        <f t="shared" si="107"/>
        <v>1+0.565807292451054i</v>
      </c>
      <c r="AN172" s="32">
        <f t="shared" si="123"/>
        <v>1.1489725376138424</v>
      </c>
      <c r="AO172" s="32">
        <f t="shared" si="124"/>
        <v>0.51489827416308176</v>
      </c>
      <c r="AP172" s="61" t="str">
        <f t="shared" si="125"/>
        <v>-0.141945840276912+0.266930675999454i</v>
      </c>
      <c r="AQ172" s="52">
        <f t="shared" si="126"/>
        <v>-10.390509183488021</v>
      </c>
      <c r="AR172" s="64">
        <f t="shared" si="127"/>
        <v>118.00272456635962</v>
      </c>
      <c r="AS172" s="61" t="str">
        <f t="shared" si="128"/>
        <v>9.58161212899978+11.7525853433948i</v>
      </c>
      <c r="AT172" s="67">
        <f t="shared" si="129"/>
        <v>23.615966842914421</v>
      </c>
      <c r="AU172" s="64">
        <f t="shared" si="130"/>
        <v>50.810431825474105</v>
      </c>
    </row>
    <row r="173" spans="14:47" x14ac:dyDescent="0.25">
      <c r="N173" s="11">
        <v>55</v>
      </c>
      <c r="O173" s="53">
        <f t="shared" si="98"/>
        <v>354.81338923357566</v>
      </c>
      <c r="P173" s="51" t="str">
        <f t="shared" si="99"/>
        <v>122.692307692308</v>
      </c>
      <c r="Q173" s="18" t="str">
        <f t="shared" si="100"/>
        <v>1+2.28509223087356i</v>
      </c>
      <c r="R173" s="18">
        <f t="shared" si="108"/>
        <v>2.4943228547240435</v>
      </c>
      <c r="S173" s="18">
        <f t="shared" si="109"/>
        <v>1.1582859256850913</v>
      </c>
      <c r="T173" s="18" t="str">
        <f t="shared" si="101"/>
        <v>1+0.000457018446174713i</v>
      </c>
      <c r="U173" s="18">
        <f t="shared" si="110"/>
        <v>1.0000001044329245</v>
      </c>
      <c r="V173" s="18">
        <f t="shared" si="111"/>
        <v>4.5701841435620008E-4</v>
      </c>
      <c r="W173" s="32" t="str">
        <f t="shared" si="102"/>
        <v>1-0.0216487270411324i</v>
      </c>
      <c r="X173" s="18">
        <f t="shared" si="112"/>
        <v>1.0002343062415433</v>
      </c>
      <c r="Y173" s="18">
        <f t="shared" si="113"/>
        <v>-2.1645345974426612E-2</v>
      </c>
      <c r="Z173" s="32" t="str">
        <f t="shared" si="103"/>
        <v>0.999995889223145+0.00231018108591122i</v>
      </c>
      <c r="AA173" s="18">
        <f t="shared" si="114"/>
        <v>0.99999855769887902</v>
      </c>
      <c r="AB173" s="18">
        <f t="shared" si="115"/>
        <v>2.3101864727883064E-3</v>
      </c>
      <c r="AC173" s="69" t="str">
        <f t="shared" si="116"/>
        <v>18.6603815483915-45.5241944152579i</v>
      </c>
      <c r="AD173" s="67">
        <f t="shared" si="117"/>
        <v>33.839341735400566</v>
      </c>
      <c r="AE173" s="64">
        <f t="shared" si="118"/>
        <v>-67.711260690071285</v>
      </c>
      <c r="AF173" s="32" t="str">
        <f t="shared" si="104"/>
        <v>-0.0000198412698412698</v>
      </c>
      <c r="AG173" s="32" t="str">
        <f t="shared" si="105"/>
        <v>0.0000771357962811956i</v>
      </c>
      <c r="AH173" s="32">
        <f t="shared" si="119"/>
        <v>7.7135796281195602E-5</v>
      </c>
      <c r="AI173" s="32">
        <f t="shared" si="120"/>
        <v>1.5707963267948966</v>
      </c>
      <c r="AJ173" s="32" t="str">
        <f t="shared" si="106"/>
        <v>1+0.0267739485478155i</v>
      </c>
      <c r="AK173" s="32">
        <f t="shared" si="121"/>
        <v>1.0003583579502104</v>
      </c>
      <c r="AL173" s="32">
        <f t="shared" si="122"/>
        <v>2.6767553713729551E-2</v>
      </c>
      <c r="AM173" s="32" t="str">
        <f t="shared" si="107"/>
        <v>1+0.578986637346511i</v>
      </c>
      <c r="AN173" s="32">
        <f t="shared" si="123"/>
        <v>1.1555195914504524</v>
      </c>
      <c r="AO173" s="32">
        <f t="shared" si="124"/>
        <v>0.52482518210800921</v>
      </c>
      <c r="AP173" s="61" t="str">
        <f t="shared" si="125"/>
        <v>-0.14194126391493+0.261025517928829i</v>
      </c>
      <c r="AQ173" s="52">
        <f t="shared" si="126"/>
        <v>-10.541295908023528</v>
      </c>
      <c r="AR173" s="64">
        <f t="shared" si="127"/>
        <v>118.53660006128727</v>
      </c>
      <c r="AS173" s="61" t="str">
        <f t="shared" si="128"/>
        <v>9.23429828342187+11.3325974524292i</v>
      </c>
      <c r="AT173" s="67">
        <f t="shared" si="129"/>
        <v>23.298045827377052</v>
      </c>
      <c r="AU173" s="64">
        <f t="shared" si="130"/>
        <v>50.825339371216103</v>
      </c>
    </row>
    <row r="174" spans="14:47" x14ac:dyDescent="0.25">
      <c r="N174" s="11">
        <v>56</v>
      </c>
      <c r="O174" s="53">
        <f t="shared" si="98"/>
        <v>363.07805477010152</v>
      </c>
      <c r="P174" s="51" t="str">
        <f t="shared" si="99"/>
        <v>122.692307692308</v>
      </c>
      <c r="Q174" s="18" t="str">
        <f t="shared" si="100"/>
        <v>1+2.33831886656812i</v>
      </c>
      <c r="R174" s="18">
        <f t="shared" si="108"/>
        <v>2.5431742216663835</v>
      </c>
      <c r="S174" s="18">
        <f t="shared" si="109"/>
        <v>1.1666767636368593</v>
      </c>
      <c r="T174" s="18" t="str">
        <f t="shared" si="101"/>
        <v>1+0.000467663773313625i</v>
      </c>
      <c r="U174" s="18">
        <f t="shared" si="110"/>
        <v>1.0000001093546964</v>
      </c>
      <c r="V174" s="18">
        <f t="shared" si="111"/>
        <v>4.6766373921947431E-4</v>
      </c>
      <c r="W174" s="32" t="str">
        <f t="shared" si="102"/>
        <v>1-0.0221529906729897i</v>
      </c>
      <c r="X174" s="18">
        <f t="shared" si="112"/>
        <v>1.0002453474002053</v>
      </c>
      <c r="Y174" s="18">
        <f t="shared" si="113"/>
        <v>-2.2149367842735197E-2</v>
      </c>
      <c r="Z174" s="32" t="str">
        <f t="shared" si="103"/>
        <v>0.999995695488201+0.0023639921161125i</v>
      </c>
      <c r="AA174" s="18">
        <f t="shared" si="114"/>
        <v>0.9999984897256875</v>
      </c>
      <c r="AB174" s="18">
        <f t="shared" si="115"/>
        <v>2.3639978882553682E-3</v>
      </c>
      <c r="AC174" s="69" t="str">
        <f t="shared" si="116"/>
        <v>17.9023304551143-44.8120239720463i</v>
      </c>
      <c r="AD174" s="67">
        <f t="shared" si="117"/>
        <v>33.670969312769728</v>
      </c>
      <c r="AE174" s="64">
        <f t="shared" si="118"/>
        <v>-68.223371851931716</v>
      </c>
      <c r="AF174" s="32" t="str">
        <f t="shared" si="104"/>
        <v>-0.0000198412698412698</v>
      </c>
      <c r="AG174" s="32" t="str">
        <f t="shared" si="105"/>
        <v>0.0000789325197885433i</v>
      </c>
      <c r="AH174" s="32">
        <f t="shared" si="119"/>
        <v>7.8932519788543298E-5</v>
      </c>
      <c r="AI174" s="32">
        <f t="shared" si="120"/>
        <v>1.5707963267948966</v>
      </c>
      <c r="AJ174" s="32" t="str">
        <f t="shared" si="106"/>
        <v>1+0.0273975939246652i</v>
      </c>
      <c r="AK174" s="32">
        <f t="shared" si="121"/>
        <v>1.0003752436725235</v>
      </c>
      <c r="AL174" s="32">
        <f t="shared" si="122"/>
        <v>2.7390741875298427E-2</v>
      </c>
      <c r="AM174" s="32" t="str">
        <f t="shared" si="107"/>
        <v>1+0.592472968620885i</v>
      </c>
      <c r="AN174" s="32">
        <f t="shared" si="123"/>
        <v>1.1623356737820809</v>
      </c>
      <c r="AO174" s="32">
        <f t="shared" si="124"/>
        <v>0.53486653525756678</v>
      </c>
      <c r="AP174" s="61" t="str">
        <f t="shared" si="125"/>
        <v>-0.141936472191916+0.255258747499428i</v>
      </c>
      <c r="AQ174" s="52">
        <f t="shared" si="126"/>
        <v>-10.690357442863284</v>
      </c>
      <c r="AR174" s="64">
        <f t="shared" si="127"/>
        <v>119.07622116585691</v>
      </c>
      <c r="AS174" s="61" t="str">
        <f t="shared" si="128"/>
        <v>8.89766748320606+10.9301870436652i</v>
      </c>
      <c r="AT174" s="67">
        <f t="shared" si="129"/>
        <v>22.980611869906458</v>
      </c>
      <c r="AU174" s="64">
        <f t="shared" si="130"/>
        <v>50.85284931392529</v>
      </c>
    </row>
    <row r="175" spans="14:47" x14ac:dyDescent="0.25">
      <c r="N175" s="11">
        <v>57</v>
      </c>
      <c r="O175" s="53">
        <f t="shared" si="98"/>
        <v>371.53522909717265</v>
      </c>
      <c r="P175" s="51" t="str">
        <f t="shared" si="99"/>
        <v>122.692307692308</v>
      </c>
      <c r="Q175" s="18" t="str">
        <f t="shared" si="100"/>
        <v>1+2.39278530987703i</v>
      </c>
      <c r="R175" s="18">
        <f t="shared" si="108"/>
        <v>2.5933417706047375</v>
      </c>
      <c r="S175" s="18">
        <f t="shared" si="109"/>
        <v>1.1749352049159101</v>
      </c>
      <c r="T175" s="18" t="str">
        <f t="shared" si="101"/>
        <v>1+0.000478557061975407i</v>
      </c>
      <c r="U175" s="18">
        <f t="shared" si="110"/>
        <v>1.0000001145084241</v>
      </c>
      <c r="V175" s="18">
        <f t="shared" si="111"/>
        <v>4.7855702544286657E-4</v>
      </c>
      <c r="W175" s="32" t="str">
        <f t="shared" si="102"/>
        <v>1-0.0226690001137313i</v>
      </c>
      <c r="X175" s="18">
        <f t="shared" si="112"/>
        <v>1.000256908782017</v>
      </c>
      <c r="Y175" s="18">
        <f t="shared" si="113"/>
        <v>-2.2665118235021348E-2</v>
      </c>
      <c r="Z175" s="32" t="str">
        <f t="shared" si="103"/>
        <v>0.99999549262281+0.00241905656622488i</v>
      </c>
      <c r="AA175" s="18">
        <f t="shared" si="114"/>
        <v>0.99999841854905303</v>
      </c>
      <c r="AB175" s="18">
        <f t="shared" si="115"/>
        <v>2.4190627511874816E-3</v>
      </c>
      <c r="AC175" s="69" t="str">
        <f t="shared" si="116"/>
        <v>17.1680122412291-44.0987642879673i</v>
      </c>
      <c r="AD175" s="67">
        <f t="shared" si="117"/>
        <v>33.501397522954882</v>
      </c>
      <c r="AE175" s="64">
        <f t="shared" si="118"/>
        <v>-68.728626848258003</v>
      </c>
      <c r="AF175" s="32" t="str">
        <f t="shared" si="104"/>
        <v>-0.0000198412698412698</v>
      </c>
      <c r="AG175" s="32" t="str">
        <f t="shared" si="105"/>
        <v>0.0000807710943626783i</v>
      </c>
      <c r="AH175" s="32">
        <f t="shared" si="119"/>
        <v>8.0771094362678305E-5</v>
      </c>
      <c r="AI175" s="32">
        <f t="shared" si="120"/>
        <v>1.5707963267948966</v>
      </c>
      <c r="AJ175" s="32" t="str">
        <f t="shared" si="106"/>
        <v>1+0.0280357658684636i</v>
      </c>
      <c r="AK175" s="32">
        <f t="shared" si="121"/>
        <v>1.0003929248889316</v>
      </c>
      <c r="AL175" s="32">
        <f t="shared" si="122"/>
        <v>2.8028423921026481E-2</v>
      </c>
      <c r="AM175" s="32" t="str">
        <f t="shared" si="107"/>
        <v>1+0.606273436905526i</v>
      </c>
      <c r="AN175" s="32">
        <f t="shared" si="123"/>
        <v>1.1694304084883542</v>
      </c>
      <c r="AO175" s="32">
        <f t="shared" si="124"/>
        <v>0.54501955744312958</v>
      </c>
      <c r="AP175" s="61" t="str">
        <f t="shared" si="125"/>
        <v>-0.141931454988693+0.24962730626891i</v>
      </c>
      <c r="AQ175" s="52">
        <f t="shared" si="126"/>
        <v>-10.837654653231981</v>
      </c>
      <c r="AR175" s="64">
        <f t="shared" si="127"/>
        <v>119.62140999650084</v>
      </c>
      <c r="AS175" s="61" t="str">
        <f t="shared" si="128"/>
        <v>8.57157478233155+10.5446064283643i</v>
      </c>
      <c r="AT175" s="67">
        <f t="shared" si="129"/>
        <v>22.663742869722903</v>
      </c>
      <c r="AU175" s="64">
        <f t="shared" si="130"/>
        <v>50.892783148242827</v>
      </c>
    </row>
    <row r="176" spans="14:47" x14ac:dyDescent="0.25">
      <c r="N176" s="11">
        <v>58</v>
      </c>
      <c r="O176" s="53">
        <f t="shared" si="98"/>
        <v>380.18939632056163</v>
      </c>
      <c r="P176" s="51" t="str">
        <f t="shared" si="99"/>
        <v>122.692307692308</v>
      </c>
      <c r="Q176" s="18" t="str">
        <f t="shared" si="100"/>
        <v>1+2.4485204396295i</v>
      </c>
      <c r="R176" s="18">
        <f t="shared" si="108"/>
        <v>2.6448539360961769</v>
      </c>
      <c r="S176" s="18">
        <f t="shared" si="109"/>
        <v>1.1830611212779227</v>
      </c>
      <c r="T176" s="18" t="str">
        <f t="shared" si="101"/>
        <v>1+0.000489704087925901i</v>
      </c>
      <c r="U176" s="18">
        <f t="shared" si="110"/>
        <v>1.0000001199050397</v>
      </c>
      <c r="V176" s="18">
        <f t="shared" si="111"/>
        <v>4.8970404878057895E-4</v>
      </c>
      <c r="W176" s="32" t="str">
        <f t="shared" si="102"/>
        <v>1-0.0231970289583928i</v>
      </c>
      <c r="X176" s="18">
        <f t="shared" si="112"/>
        <v>1.0002690148917424</v>
      </c>
      <c r="Y176" s="18">
        <f t="shared" si="113"/>
        <v>-2.3192869510830171E-2</v>
      </c>
      <c r="Z176" s="32" t="str">
        <f t="shared" si="103"/>
        <v>0.999995280196667+0.00247540363214866i</v>
      </c>
      <c r="AA176" s="18">
        <f t="shared" si="114"/>
        <v>0.99999834401800514</v>
      </c>
      <c r="AB176" s="18">
        <f t="shared" si="115"/>
        <v>2.4754102594555872E-3</v>
      </c>
      <c r="AC176" s="69" t="str">
        <f t="shared" si="116"/>
        <v>16.457071928468-43.3852046009835i</v>
      </c>
      <c r="AD176" s="67">
        <f t="shared" si="117"/>
        <v>33.330664589966325</v>
      </c>
      <c r="AE176" s="64">
        <f t="shared" si="118"/>
        <v>-69.227035278232691</v>
      </c>
      <c r="AF176" s="32" t="str">
        <f t="shared" si="104"/>
        <v>-0.0000198412698412698</v>
      </c>
      <c r="AG176" s="32" t="str">
        <f t="shared" si="105"/>
        <v>0.0000826524948401763i</v>
      </c>
      <c r="AH176" s="32">
        <f t="shared" si="119"/>
        <v>8.2652494840176302E-5</v>
      </c>
      <c r="AI176" s="32">
        <f t="shared" si="120"/>
        <v>1.5707963267948966</v>
      </c>
      <c r="AJ176" s="32" t="str">
        <f t="shared" si="106"/>
        <v>1+0.0286888027464228i</v>
      </c>
      <c r="AK176" s="32">
        <f t="shared" si="121"/>
        <v>1.0004114390604613</v>
      </c>
      <c r="AL176" s="32">
        <f t="shared" si="122"/>
        <v>2.8680935882739806E-2</v>
      </c>
      <c r="AM176" s="32" t="str">
        <f t="shared" si="107"/>
        <v>1+0.620395359391393i</v>
      </c>
      <c r="AN176" s="32">
        <f t="shared" si="123"/>
        <v>1.1768136649250704</v>
      </c>
      <c r="AO176" s="32">
        <f t="shared" si="124"/>
        <v>0.5552812585365321</v>
      </c>
      <c r="AP176" s="61" t="str">
        <f t="shared" si="125"/>
        <v>-0.141926201712121+0.244128207489466i</v>
      </c>
      <c r="AQ176" s="52">
        <f t="shared" si="126"/>
        <v>-10.98314899742957</v>
      </c>
      <c r="AR176" s="64">
        <f t="shared" si="127"/>
        <v>120.17197597828967</v>
      </c>
      <c r="AS176" s="61" t="str">
        <f t="shared" si="128"/>
        <v>8.2558625206912+10.1751327699429i</v>
      </c>
      <c r="AT176" s="67">
        <f t="shared" si="129"/>
        <v>22.347515592536737</v>
      </c>
      <c r="AU176" s="64">
        <f t="shared" si="130"/>
        <v>50.944940700056932</v>
      </c>
    </row>
    <row r="177" spans="14:47" x14ac:dyDescent="0.25">
      <c r="N177" s="11">
        <v>59</v>
      </c>
      <c r="O177" s="53">
        <f t="shared" si="98"/>
        <v>389.04514499428063</v>
      </c>
      <c r="P177" s="51" t="str">
        <f t="shared" si="99"/>
        <v>122.692307692308</v>
      </c>
      <c r="Q177" s="18" t="str">
        <f t="shared" si="100"/>
        <v>1+2.50555380732906i</v>
      </c>
      <c r="R177" s="18">
        <f t="shared" si="108"/>
        <v>2.6977397727396073</v>
      </c>
      <c r="S177" s="18">
        <f t="shared" si="109"/>
        <v>1.1910545276755928</v>
      </c>
      <c r="T177" s="18" t="str">
        <f t="shared" si="101"/>
        <v>1+0.000501110761465813i</v>
      </c>
      <c r="U177" s="18">
        <f t="shared" si="110"/>
        <v>1.0000001255559898</v>
      </c>
      <c r="V177" s="18">
        <f t="shared" si="111"/>
        <v>5.0111071952084485E-4</v>
      </c>
      <c r="W177" s="32" t="str">
        <f t="shared" si="102"/>
        <v>1-0.0237373571748571i</v>
      </c>
      <c r="X177" s="18">
        <f t="shared" si="112"/>
        <v>1.0002816913878043</v>
      </c>
      <c r="Y177" s="18">
        <f t="shared" si="113"/>
        <v>-2.3732900314279722E-2</v>
      </c>
      <c r="Z177" s="32" t="str">
        <f t="shared" si="103"/>
        <v>0.999995057759189+0.00253306318984405i</v>
      </c>
      <c r="AA177" s="18">
        <f t="shared" si="114"/>
        <v>0.99999826597446029</v>
      </c>
      <c r="AB177" s="18">
        <f t="shared" si="115"/>
        <v>2.5330702911314719E-3</v>
      </c>
      <c r="AC177" s="69" t="str">
        <f t="shared" si="116"/>
        <v>15.7691287916907-42.6720973170098i</v>
      </c>
      <c r="AD177" s="67">
        <f t="shared" si="117"/>
        <v>33.15880815397459</v>
      </c>
      <c r="AE177" s="64">
        <f t="shared" si="118"/>
        <v>-69.718615336966579</v>
      </c>
      <c r="AF177" s="32" t="str">
        <f t="shared" si="104"/>
        <v>-0.0000198412698412698</v>
      </c>
      <c r="AG177" s="32" t="str">
        <f t="shared" si="105"/>
        <v>0.0000845777187644735i</v>
      </c>
      <c r="AH177" s="32">
        <f t="shared" si="119"/>
        <v>8.4577718764473504E-5</v>
      </c>
      <c r="AI177" s="32">
        <f t="shared" si="120"/>
        <v>1.5707963267948966</v>
      </c>
      <c r="AJ177" s="32" t="str">
        <f t="shared" si="106"/>
        <v>1+0.0293570508073393i</v>
      </c>
      <c r="AK177" s="32">
        <f t="shared" si="121"/>
        <v>1.000430825410785</v>
      </c>
      <c r="AL177" s="32">
        <f t="shared" si="122"/>
        <v>2.9348621507075366E-2</v>
      </c>
      <c r="AM177" s="32" t="str">
        <f t="shared" si="107"/>
        <v>1+0.634846223708713i</v>
      </c>
      <c r="AN177" s="32">
        <f t="shared" si="123"/>
        <v>1.1844955583526742</v>
      </c>
      <c r="AO177" s="32">
        <f t="shared" si="124"/>
        <v>0.56564843435116152</v>
      </c>
      <c r="AP177" s="61" t="str">
        <f t="shared" si="125"/>
        <v>-0.141920701273034+0.238758534520013i</v>
      </c>
      <c r="AQ177" s="52">
        <f t="shared" si="126"/>
        <v>-11.126802637336867</v>
      </c>
      <c r="AR177" s="64">
        <f t="shared" si="127"/>
        <v>120.72771582962206</v>
      </c>
      <c r="AS177" s="61" t="str">
        <f t="shared" si="128"/>
        <v>7.9503616037231+9.8210680569826i</v>
      </c>
      <c r="AT177" s="67">
        <f t="shared" si="129"/>
        <v>22.032005516637724</v>
      </c>
      <c r="AU177" s="64">
        <f t="shared" si="130"/>
        <v>51.009100492655506</v>
      </c>
    </row>
    <row r="178" spans="14:47" x14ac:dyDescent="0.25">
      <c r="N178" s="11">
        <v>60</v>
      </c>
      <c r="O178" s="53">
        <f t="shared" si="98"/>
        <v>398.10717055349761</v>
      </c>
      <c r="P178" s="51" t="str">
        <f t="shared" si="99"/>
        <v>122.692307692308</v>
      </c>
      <c r="Q178" s="18" t="str">
        <f t="shared" si="100"/>
        <v>1+2.56391565282218i</v>
      </c>
      <c r="R178" s="18">
        <f t="shared" si="108"/>
        <v>2.7520289741909671</v>
      </c>
      <c r="S178" s="18">
        <f t="shared" si="109"/>
        <v>1.1989155753969529</v>
      </c>
      <c r="T178" s="18" t="str">
        <f t="shared" si="101"/>
        <v>1+0.000512783130564437i</v>
      </c>
      <c r="U178" s="18">
        <f t="shared" si="110"/>
        <v>1.0000001314732609</v>
      </c>
      <c r="V178" s="18">
        <f t="shared" si="111"/>
        <v>5.1278308561959426E-4</v>
      </c>
      <c r="W178" s="32" t="str">
        <f t="shared" si="102"/>
        <v>1-0.0242902712522965i</v>
      </c>
      <c r="X178" s="18">
        <f t="shared" si="112"/>
        <v>1.0002949651365391</v>
      </c>
      <c r="Y178" s="18">
        <f t="shared" si="113"/>
        <v>-2.4285495716200398E-2</v>
      </c>
      <c r="Z178" s="32" t="str">
        <f t="shared" si="103"/>
        <v>0.999994824838555+0.00259206581117174i</v>
      </c>
      <c r="AA178" s="18">
        <f t="shared" si="114"/>
        <v>0.99999818425288234</v>
      </c>
      <c r="AB178" s="18">
        <f t="shared" si="115"/>
        <v>2.5920734203384271E-3</v>
      </c>
      <c r="AC178" s="69" t="str">
        <f t="shared" si="116"/>
        <v>15.1037791542834-41.9601578280456i</v>
      </c>
      <c r="AD178" s="67">
        <f t="shared" si="117"/>
        <v>32.985865232508338</v>
      </c>
      <c r="AE178" s="64">
        <f t="shared" si="118"/>
        <v>-70.203393431227141</v>
      </c>
      <c r="AF178" s="32" t="str">
        <f t="shared" si="104"/>
        <v>-0.0000198412698412698</v>
      </c>
      <c r="AG178" s="32" t="str">
        <f t="shared" si="105"/>
        <v>0.0000865477869147783i</v>
      </c>
      <c r="AH178" s="32">
        <f t="shared" si="119"/>
        <v>8.6547786914778304E-5</v>
      </c>
      <c r="AI178" s="32">
        <f t="shared" si="120"/>
        <v>1.5707963267948966</v>
      </c>
      <c r="AJ178" s="32" t="str">
        <f t="shared" si="106"/>
        <v>1+0.0300408643651803i</v>
      </c>
      <c r="AK178" s="32">
        <f t="shared" si="121"/>
        <v>1.0004511250090167</v>
      </c>
      <c r="AL178" s="32">
        <f t="shared" si="122"/>
        <v>3.003183242717045E-2</v>
      </c>
      <c r="AM178" s="32" t="str">
        <f t="shared" si="107"/>
        <v>1+0.649633691897024i</v>
      </c>
      <c r="AN178" s="32">
        <f t="shared" si="123"/>
        <v>1.1924864500897936</v>
      </c>
      <c r="AO178" s="32">
        <f t="shared" si="124"/>
        <v>0.57611766739725701</v>
      </c>
      <c r="AP178" s="61" t="str">
        <f t="shared" si="125"/>
        <v>-0.141914942063179+0.233515439275275i</v>
      </c>
      <c r="AQ178" s="52">
        <f t="shared" si="126"/>
        <v>-11.268578551064312</v>
      </c>
      <c r="AR178" s="64">
        <f t="shared" si="127"/>
        <v>121.28841359566357</v>
      </c>
      <c r="AS178" s="61" t="str">
        <f t="shared" si="128"/>
        <v>7.65489274366076+9.48173899105817i</v>
      </c>
      <c r="AT178" s="67">
        <f t="shared" si="129"/>
        <v>21.71728668144403</v>
      </c>
      <c r="AU178" s="64">
        <f t="shared" si="130"/>
        <v>51.085020164436429</v>
      </c>
    </row>
    <row r="179" spans="14:47" x14ac:dyDescent="0.25">
      <c r="N179" s="11">
        <v>61</v>
      </c>
      <c r="O179" s="53">
        <f t="shared" si="98"/>
        <v>407.38027780411272</v>
      </c>
      <c r="P179" s="51" t="str">
        <f t="shared" si="99"/>
        <v>122.692307692308</v>
      </c>
      <c r="Q179" s="18" t="str">
        <f t="shared" si="100"/>
        <v>1+2.62363692033188i</v>
      </c>
      <c r="R179" s="18">
        <f t="shared" si="108"/>
        <v>2.8077518924806282</v>
      </c>
      <c r="S179" s="18">
        <f t="shared" si="109"/>
        <v>1.2066445451874575</v>
      </c>
      <c r="T179" s="18" t="str">
        <f t="shared" si="101"/>
        <v>1+0.000524727384066376i</v>
      </c>
      <c r="U179" s="18">
        <f t="shared" si="110"/>
        <v>1.0000001376694043</v>
      </c>
      <c r="V179" s="18">
        <f t="shared" si="111"/>
        <v>5.2472733590710975E-4</v>
      </c>
      <c r="W179" s="32" t="str">
        <f t="shared" si="102"/>
        <v>1-0.0248560643530737i</v>
      </c>
      <c r="X179" s="18">
        <f t="shared" si="112"/>
        <v>1.0003088642689937</v>
      </c>
      <c r="Y179" s="18">
        <f t="shared" si="113"/>
        <v>-2.4850947359283782E-2</v>
      </c>
      <c r="Z179" s="32" t="str">
        <f t="shared" si="103"/>
        <v>0.99999458094071+0.00265244278010258i</v>
      </c>
      <c r="AA179" s="18">
        <f t="shared" si="114"/>
        <v>0.99999809867993639</v>
      </c>
      <c r="AB179" s="18">
        <f t="shared" si="115"/>
        <v>2.6524509334717185E-3</v>
      </c>
      <c r="AC179" s="69" t="str">
        <f t="shared" si="116"/>
        <v>14.4605990860522-41.2500645165477i</v>
      </c>
      <c r="AD179" s="67">
        <f t="shared" si="117"/>
        <v>32.811872186106996</v>
      </c>
      <c r="AE179" s="64">
        <f t="shared" si="118"/>
        <v>-70.681403794423645</v>
      </c>
      <c r="AF179" s="32" t="str">
        <f t="shared" si="104"/>
        <v>-0.0000198412698412698</v>
      </c>
      <c r="AG179" s="32" t="str">
        <f t="shared" si="105"/>
        <v>0.0000885637438473005i</v>
      </c>
      <c r="AH179" s="32">
        <f t="shared" si="119"/>
        <v>8.8563743847300499E-5</v>
      </c>
      <c r="AI179" s="32">
        <f t="shared" si="120"/>
        <v>1.5707963267948966</v>
      </c>
      <c r="AJ179" s="32" t="str">
        <f t="shared" si="106"/>
        <v>1+0.0307406059869456i</v>
      </c>
      <c r="AK179" s="32">
        <f t="shared" si="121"/>
        <v>1.0004723808563856</v>
      </c>
      <c r="AL179" s="32">
        <f t="shared" si="122"/>
        <v>3.0730928337780562E-2</v>
      </c>
      <c r="AM179" s="32" t="str">
        <f t="shared" si="107"/>
        <v>1+0.6647656044677i</v>
      </c>
      <c r="AN179" s="32">
        <f t="shared" si="123"/>
        <v>1.200796947399229</v>
      </c>
      <c r="AO179" s="32">
        <f t="shared" si="124"/>
        <v>0.58668532853026767</v>
      </c>
      <c r="AP179" s="61" t="str">
        <f t="shared" si="125"/>
        <v>-0.141908911931091+0.228396140710886i</v>
      </c>
      <c r="AQ179" s="52">
        <f t="shared" si="126"/>
        <v>-11.408440647182969</v>
      </c>
      <c r="AR179" s="64">
        <f t="shared" si="127"/>
        <v>121.85384073275667</v>
      </c>
      <c r="AS179" s="61" t="str">
        <f t="shared" si="128"/>
        <v>7.36926765748116+9.15649679625228i</v>
      </c>
      <c r="AT179" s="67">
        <f t="shared" si="129"/>
        <v>21.403431538924032</v>
      </c>
      <c r="AU179" s="64">
        <f t="shared" si="130"/>
        <v>51.172436938333014</v>
      </c>
    </row>
    <row r="180" spans="14:47" x14ac:dyDescent="0.25">
      <c r="N180" s="11">
        <v>62</v>
      </c>
      <c r="O180" s="53">
        <f t="shared" si="98"/>
        <v>416.86938347033572</v>
      </c>
      <c r="P180" s="51" t="str">
        <f t="shared" si="99"/>
        <v>122.692307692308</v>
      </c>
      <c r="Q180" s="18" t="str">
        <f t="shared" si="100"/>
        <v>1+2.68474927486468i</v>
      </c>
      <c r="R180" s="18">
        <f t="shared" si="108"/>
        <v>2.864939557632312</v>
      </c>
      <c r="S180" s="18">
        <f t="shared" si="109"/>
        <v>1.2142418403889406</v>
      </c>
      <c r="T180" s="18" t="str">
        <f t="shared" si="101"/>
        <v>1+0.000536949854972936i</v>
      </c>
      <c r="U180" s="18">
        <f t="shared" si="110"/>
        <v>1.000000144157563</v>
      </c>
      <c r="V180" s="18">
        <f t="shared" si="111"/>
        <v>5.3694980336935281E-4</v>
      </c>
      <c r="W180" s="32" t="str">
        <f t="shared" si="102"/>
        <v>1-0.0254350364681798i</v>
      </c>
      <c r="X180" s="18">
        <f t="shared" si="112"/>
        <v>1.0003234182403897</v>
      </c>
      <c r="Y180" s="18">
        <f t="shared" si="113"/>
        <v>-2.5429553606286969E-2</v>
      </c>
      <c r="Z180" s="32" t="str">
        <f t="shared" si="103"/>
        <v>0.999994325548314+0.00271422610930465i</v>
      </c>
      <c r="AA180" s="18">
        <f t="shared" si="114"/>
        <v>0.99999800907411807</v>
      </c>
      <c r="AB180" s="18">
        <f t="shared" si="115"/>
        <v>2.7142348457972368E-3</v>
      </c>
      <c r="AC180" s="69" t="str">
        <f t="shared" si="116"/>
        <v>13.8391469944362-40.542458930243i</v>
      </c>
      <c r="AD180" s="67">
        <f t="shared" si="117"/>
        <v>32.636864688264687</v>
      </c>
      <c r="AE180" s="64">
        <f t="shared" si="118"/>
        <v>-71.152688102754041</v>
      </c>
      <c r="AF180" s="32" t="str">
        <f t="shared" si="104"/>
        <v>-0.0000198412698412698</v>
      </c>
      <c r="AG180" s="32" t="str">
        <f t="shared" si="105"/>
        <v>0.0000906266584490904i</v>
      </c>
      <c r="AH180" s="32">
        <f t="shared" si="119"/>
        <v>9.06266584490904E-5</v>
      </c>
      <c r="AI180" s="32">
        <f t="shared" si="120"/>
        <v>1.5707963267948966</v>
      </c>
      <c r="AJ180" s="32" t="str">
        <f t="shared" si="106"/>
        <v>1+0.0314566466849053i</v>
      </c>
      <c r="AK180" s="32">
        <f t="shared" si="121"/>
        <v>1.0004946379769653</v>
      </c>
      <c r="AL180" s="32">
        <f t="shared" si="122"/>
        <v>3.1446277173865923E-2</v>
      </c>
      <c r="AM180" s="32" t="str">
        <f t="shared" si="107"/>
        <v>1+0.680249984561078i</v>
      </c>
      <c r="AN180" s="32">
        <f t="shared" si="123"/>
        <v>1.2094379031167111</v>
      </c>
      <c r="AO180" s="32">
        <f t="shared" si="124"/>
        <v>0.59734757952579731</v>
      </c>
      <c r="AP180" s="61" t="str">
        <f t="shared" si="125"/>
        <v>-0.14190259815686+0.223397923343698i</v>
      </c>
      <c r="AQ180" s="52">
        <f t="shared" si="126"/>
        <v>-11.546353879929413</v>
      </c>
      <c r="AR180" s="64">
        <f t="shared" si="127"/>
        <v>122.42375624572236</v>
      </c>
      <c r="AS180" s="61" t="str">
        <f t="shared" si="128"/>
        <v>7.09329021747825+8.8447169572745i</v>
      </c>
      <c r="AT180" s="67">
        <f t="shared" si="129"/>
        <v>21.090510808335271</v>
      </c>
      <c r="AU180" s="64">
        <f t="shared" si="130"/>
        <v>51.27106814296836</v>
      </c>
    </row>
    <row r="181" spans="14:47" x14ac:dyDescent="0.25">
      <c r="N181" s="11">
        <v>63</v>
      </c>
      <c r="O181" s="53">
        <f t="shared" si="98"/>
        <v>426.57951880159294</v>
      </c>
      <c r="P181" s="51" t="str">
        <f t="shared" si="99"/>
        <v>122.692307692308</v>
      </c>
      <c r="Q181" s="18" t="str">
        <f t="shared" si="100"/>
        <v>1+2.74728511899986i</v>
      </c>
      <c r="R181" s="18">
        <f t="shared" si="108"/>
        <v>2.9236236975845702</v>
      </c>
      <c r="S181" s="18">
        <f t="shared" si="109"/>
        <v>1.2217079801256798</v>
      </c>
      <c r="T181" s="18" t="str">
        <f t="shared" si="101"/>
        <v>1+0.000549457023799972i</v>
      </c>
      <c r="U181" s="18">
        <f t="shared" si="110"/>
        <v>1.0000001509514991</v>
      </c>
      <c r="V181" s="18">
        <f t="shared" si="111"/>
        <v>5.4945696850573691E-4</v>
      </c>
      <c r="W181" s="32" t="str">
        <f t="shared" si="102"/>
        <v>1-0.0260274945762938i</v>
      </c>
      <c r="X181" s="18">
        <f t="shared" si="112"/>
        <v>1.0003386578923754</v>
      </c>
      <c r="Y181" s="18">
        <f t="shared" si="113"/>
        <v>-2.6021619691342736E-2</v>
      </c>
      <c r="Z181" s="32" t="str">
        <f t="shared" si="103"/>
        <v>0.999994058119645+0.00277744855711691i</v>
      </c>
      <c r="AA181" s="18">
        <f t="shared" si="114"/>
        <v>0.99999791524536863</v>
      </c>
      <c r="AB181" s="18">
        <f t="shared" si="115"/>
        <v>2.7774579184375483E-3</v>
      </c>
      <c r="AC181" s="69" t="str">
        <f t="shared" si="116"/>
        <v>13.238966101668-39.8379461116616i</v>
      </c>
      <c r="AD181" s="67">
        <f t="shared" si="117"/>
        <v>32.460877699488542</v>
      </c>
      <c r="AE181" s="64">
        <f t="shared" si="118"/>
        <v>-71.617295094244867</v>
      </c>
      <c r="AF181" s="32" t="str">
        <f t="shared" si="104"/>
        <v>-0.0000198412698412698</v>
      </c>
      <c r="AG181" s="32" t="str">
        <f t="shared" si="105"/>
        <v>0.0000927376245047756i</v>
      </c>
      <c r="AH181" s="32">
        <f t="shared" si="119"/>
        <v>9.27376245047756E-5</v>
      </c>
      <c r="AI181" s="32">
        <f t="shared" si="120"/>
        <v>1.5707963267948966</v>
      </c>
      <c r="AJ181" s="32" t="str">
        <f t="shared" si="106"/>
        <v>1+0.0321893661133152i</v>
      </c>
      <c r="AK181" s="32">
        <f t="shared" si="121"/>
        <v>1.0005179435126472</v>
      </c>
      <c r="AL181" s="32">
        <f t="shared" si="122"/>
        <v>3.2178255292683984E-2</v>
      </c>
      <c r="AM181" s="32" t="str">
        <f t="shared" si="107"/>
        <v>1+0.696095042200442i</v>
      </c>
      <c r="AN181" s="32">
        <f t="shared" si="123"/>
        <v>1.2184204150358098</v>
      </c>
      <c r="AO181" s="32">
        <f t="shared" si="124"/>
        <v>0.6081003766086891</v>
      </c>
      <c r="AP181" s="61" t="str">
        <f t="shared" si="125"/>
        <v>-0.14189598742575+0.218518135806488i</v>
      </c>
      <c r="AQ181" s="52">
        <f t="shared" si="126"/>
        <v>-11.682284364734002</v>
      </c>
      <c r="AR181" s="64">
        <f t="shared" si="127"/>
        <v>122.9979068796285</v>
      </c>
      <c r="AS181" s="61" t="str">
        <f t="shared" si="128"/>
        <v>6.82675755118741+8.54579889306982i</v>
      </c>
      <c r="AT181" s="67">
        <f t="shared" si="129"/>
        <v>20.778593334754547</v>
      </c>
      <c r="AU181" s="64">
        <f t="shared" si="130"/>
        <v>51.380611785383643</v>
      </c>
    </row>
    <row r="182" spans="14:47" x14ac:dyDescent="0.25">
      <c r="N182" s="11">
        <v>64</v>
      </c>
      <c r="O182" s="53">
        <f t="shared" si="98"/>
        <v>436.51583224016622</v>
      </c>
      <c r="P182" s="51" t="str">
        <f t="shared" si="99"/>
        <v>122.692307692308</v>
      </c>
      <c r="Q182" s="18" t="str">
        <f t="shared" si="100"/>
        <v>1+2.81127761006975i</v>
      </c>
      <c r="R182" s="18">
        <f t="shared" si="108"/>
        <v>2.9838367584168353</v>
      </c>
      <c r="S182" s="18">
        <f t="shared" si="109"/>
        <v>1.2290435925648431</v>
      </c>
      <c r="T182" s="18" t="str">
        <f t="shared" si="101"/>
        <v>1+0.00056225552201395i</v>
      </c>
      <c r="U182" s="18">
        <f t="shared" si="110"/>
        <v>1.0000001580656235</v>
      </c>
      <c r="V182" s="18">
        <f t="shared" si="111"/>
        <v>5.6225546276511009E-4</v>
      </c>
      <c r="W182" s="32" t="str">
        <f t="shared" si="102"/>
        <v>1-0.0266337528065468i</v>
      </c>
      <c r="X182" s="18">
        <f t="shared" si="112"/>
        <v>1.0003546155181973</v>
      </c>
      <c r="Y182" s="18">
        <f t="shared" si="113"/>
        <v>-2.6627457874421993E-2</v>
      </c>
      <c r="Z182" s="32" t="str">
        <f t="shared" si="103"/>
        <v>0.999993778087452+0.00284214364491802i</v>
      </c>
      <c r="AA182" s="18">
        <f t="shared" si="114"/>
        <v>0.99999781699467449</v>
      </c>
      <c r="AB182" s="18">
        <f t="shared" si="115"/>
        <v>2.8421536757539962E-3</v>
      </c>
      <c r="AC182" s="69" t="str">
        <f t="shared" si="116"/>
        <v>12.6595868021875-39.1370950669033i</v>
      </c>
      <c r="AD182" s="67">
        <f t="shared" si="117"/>
        <v>32.28394544528215</v>
      </c>
      <c r="AE182" s="64">
        <f t="shared" si="118"/>
        <v>-72.075280192252251</v>
      </c>
      <c r="AF182" s="32" t="str">
        <f t="shared" si="104"/>
        <v>-0.0000198412698412698</v>
      </c>
      <c r="AG182" s="32" t="str">
        <f t="shared" si="105"/>
        <v>0.0000948977612765008i</v>
      </c>
      <c r="AH182" s="32">
        <f t="shared" si="119"/>
        <v>9.4897761276500805E-5</v>
      </c>
      <c r="AI182" s="32">
        <f t="shared" si="120"/>
        <v>1.5707963267948966</v>
      </c>
      <c r="AJ182" s="32" t="str">
        <f t="shared" si="106"/>
        <v>1+0.032939152769715i</v>
      </c>
      <c r="AK182" s="32">
        <f t="shared" si="121"/>
        <v>1.0005423468225554</v>
      </c>
      <c r="AL182" s="32">
        <f t="shared" si="122"/>
        <v>3.292724765942423E-2</v>
      </c>
      <c r="AM182" s="32" t="str">
        <f t="shared" si="107"/>
        <v>1+0.712309178645087i</v>
      </c>
      <c r="AN182" s="32">
        <f t="shared" si="123"/>
        <v>1.227755825065407</v>
      </c>
      <c r="AO182" s="32">
        <f t="shared" si="124"/>
        <v>0.61893947495700929</v>
      </c>
      <c r="AP182" s="61" t="str">
        <f t="shared" si="125"/>
        <v>-0.141889065800615+0.213754189436277i</v>
      </c>
      <c r="AQ182" s="52">
        <f t="shared" si="126"/>
        <v>-11.816199493384634</v>
      </c>
      <c r="AR182" s="64">
        <f t="shared" si="127"/>
        <v>123.5760273672127</v>
      </c>
      <c r="AS182" s="61" t="str">
        <f t="shared" si="128"/>
        <v>6.56946108813225+8.25916557269255i</v>
      </c>
      <c r="AT182" s="67">
        <f t="shared" si="129"/>
        <v>20.46774595189752</v>
      </c>
      <c r="AU182" s="64">
        <f t="shared" si="130"/>
        <v>51.500747174960473</v>
      </c>
    </row>
    <row r="183" spans="14:47" x14ac:dyDescent="0.25">
      <c r="N183" s="11">
        <v>65</v>
      </c>
      <c r="O183" s="53">
        <f t="shared" si="98"/>
        <v>446.68359215096331</v>
      </c>
      <c r="P183" s="51" t="str">
        <f t="shared" si="99"/>
        <v>122.692307692308</v>
      </c>
      <c r="Q183" s="18" t="str">
        <f t="shared" si="100"/>
        <v>1+2.87676067774016i</v>
      </c>
      <c r="R183" s="18">
        <f t="shared" si="108"/>
        <v>3.045611924883409</v>
      </c>
      <c r="S183" s="18">
        <f t="shared" si="109"/>
        <v>1.2362494082757689</v>
      </c>
      <c r="T183" s="18" t="str">
        <f t="shared" si="101"/>
        <v>1+0.000575352135548032i</v>
      </c>
      <c r="U183" s="18">
        <f t="shared" si="110"/>
        <v>1.0000001655150261</v>
      </c>
      <c r="V183" s="18">
        <f t="shared" si="111"/>
        <v>5.7535207206175685E-4</v>
      </c>
      <c r="W183" s="32" t="str">
        <f t="shared" si="102"/>
        <v>1-0.0272541326050772i</v>
      </c>
      <c r="X183" s="18">
        <f t="shared" si="112"/>
        <v>1.0003713249309254</v>
      </c>
      <c r="Y183" s="18">
        <f t="shared" si="113"/>
        <v>-2.7247387598995521E-2</v>
      </c>
      <c r="Z183" s="32" t="str">
        <f t="shared" si="103"/>
        <v>0.999993484857747+0.00290834567489989i</v>
      </c>
      <c r="AA183" s="18">
        <f t="shared" si="114"/>
        <v>0.99999771411364025</v>
      </c>
      <c r="AB183" s="18">
        <f t="shared" si="115"/>
        <v>2.9083564231345035E-3</v>
      </c>
      <c r="AC183" s="69" t="str">
        <f t="shared" si="116"/>
        <v>12.1005288961785-38.4404393585498i</v>
      </c>
      <c r="AD183" s="67">
        <f t="shared" si="117"/>
        <v>32.106101397860499</v>
      </c>
      <c r="AE183" s="64">
        <f t="shared" si="118"/>
        <v>-72.526705134828575</v>
      </c>
      <c r="AF183" s="32" t="str">
        <f t="shared" si="104"/>
        <v>-0.0000198412698412698</v>
      </c>
      <c r="AG183" s="32" t="str">
        <f t="shared" si="105"/>
        <v>0.0000971082140973752i</v>
      </c>
      <c r="AH183" s="32">
        <f t="shared" si="119"/>
        <v>9.7108214097375197E-5</v>
      </c>
      <c r="AI183" s="32">
        <f t="shared" si="120"/>
        <v>1.5707963267948966</v>
      </c>
      <c r="AJ183" s="32" t="str">
        <f t="shared" si="106"/>
        <v>1+0.0337064042009145i</v>
      </c>
      <c r="AK183" s="32">
        <f t="shared" si="121"/>
        <v>1.0005678995871072</v>
      </c>
      <c r="AL183" s="32">
        <f t="shared" si="122"/>
        <v>3.369364803641664E-2</v>
      </c>
      <c r="AM183" s="32" t="str">
        <f t="shared" si="107"/>
        <v>1+0.728900990844777i</v>
      </c>
      <c r="AN183" s="32">
        <f t="shared" si="123"/>
        <v>1.2374557181792396</v>
      </c>
      <c r="AO183" s="32">
        <f t="shared" si="124"/>
        <v>0.62986043419434801</v>
      </c>
      <c r="AP183" s="61" t="str">
        <f t="shared" si="125"/>
        <v>-0.141881818693056+0.209103556895466i</v>
      </c>
      <c r="AQ183" s="52">
        <f t="shared" si="126"/>
        <v>-11.948068048107093</v>
      </c>
      <c r="AR183" s="64">
        <f t="shared" si="127"/>
        <v>124.15784073272781</v>
      </c>
      <c r="AS183" s="61" t="str">
        <f t="shared" si="128"/>
        <v>6.32118755155955+7.98426308005847i</v>
      </c>
      <c r="AT183" s="67">
        <f t="shared" si="129"/>
        <v>20.158033349753417</v>
      </c>
      <c r="AU183" s="64">
        <f t="shared" si="130"/>
        <v>51.631135597899224</v>
      </c>
    </row>
    <row r="184" spans="14:47" x14ac:dyDescent="0.25">
      <c r="N184" s="11">
        <v>66</v>
      </c>
      <c r="O184" s="53">
        <f t="shared" ref="O184:O218" si="131">10^(2+(N184/100))</f>
        <v>457.0881896148756</v>
      </c>
      <c r="P184" s="51" t="str">
        <f t="shared" si="99"/>
        <v>122.692307692308</v>
      </c>
      <c r="Q184" s="18" t="str">
        <f t="shared" si="100"/>
        <v>1+2.94376904200034i</v>
      </c>
      <c r="R184" s="18">
        <f t="shared" si="108"/>
        <v>3.1089831412601128</v>
      </c>
      <c r="S184" s="18">
        <f t="shared" si="109"/>
        <v>1.2433262537097898</v>
      </c>
      <c r="T184" s="18" t="str">
        <f t="shared" si="101"/>
        <v>1+0.000588753808400068i</v>
      </c>
      <c r="U184" s="18">
        <f t="shared" si="110"/>
        <v>1.0000001733155084</v>
      </c>
      <c r="V184" s="18">
        <f t="shared" si="111"/>
        <v>5.8875374037329915E-4</v>
      </c>
      <c r="W184" s="32" t="str">
        <f t="shared" si="102"/>
        <v>1-0.0278889629054659i</v>
      </c>
      <c r="X184" s="18">
        <f t="shared" si="112"/>
        <v>1.0003888215348782</v>
      </c>
      <c r="Y184" s="18">
        <f t="shared" si="113"/>
        <v>-2.788173565294199E-2</v>
      </c>
      <c r="Z184" s="32" t="str">
        <f t="shared" si="103"/>
        <v>0.999993177808552+0.00297608974825509i</v>
      </c>
      <c r="AA184" s="18">
        <f t="shared" si="114"/>
        <v>0.99999760638405311</v>
      </c>
      <c r="AB184" s="18">
        <f t="shared" si="115"/>
        <v>2.9761012651962184E-3</v>
      </c>
      <c r="AC184" s="69" t="str">
        <f t="shared" si="116"/>
        <v>11.5613036965223-37.7484778081162i</v>
      </c>
      <c r="AD184" s="67">
        <f t="shared" si="117"/>
        <v>31.927378261394459</v>
      </c>
      <c r="AE184" s="64">
        <f t="shared" si="118"/>
        <v>-72.971637611199057</v>
      </c>
      <c r="AF184" s="32" t="str">
        <f t="shared" si="104"/>
        <v>-0.0000198412698412698</v>
      </c>
      <c r="AG184" s="32" t="str">
        <f t="shared" si="105"/>
        <v>0.0000993701549787432i</v>
      </c>
      <c r="AH184" s="32">
        <f t="shared" si="119"/>
        <v>9.9370154978743196E-5</v>
      </c>
      <c r="AI184" s="32">
        <f t="shared" si="120"/>
        <v>1.5707963267948966</v>
      </c>
      <c r="AJ184" s="32" t="str">
        <f t="shared" si="106"/>
        <v>1+0.0344915272137784i</v>
      </c>
      <c r="AK184" s="32">
        <f t="shared" si="121"/>
        <v>1.0005946559169396</v>
      </c>
      <c r="AL184" s="32">
        <f t="shared" si="122"/>
        <v>3.4477859175945466E-2</v>
      </c>
      <c r="AM184" s="32" t="str">
        <f t="shared" si="107"/>
        <v>1+0.745879275997959i</v>
      </c>
      <c r="AN184" s="32">
        <f t="shared" si="123"/>
        <v>1.2475319211800713</v>
      </c>
      <c r="AO184" s="32">
        <f t="shared" si="124"/>
        <v>0.64085862487589229</v>
      </c>
      <c r="AP184" s="61" t="str">
        <f t="shared" si="125"/>
        <v>-0.141874230833258+0.204563770825045i</v>
      </c>
      <c r="AQ184" s="52">
        <f t="shared" si="126"/>
        <v>-12.07786031381678</v>
      </c>
      <c r="AR184" s="64">
        <f t="shared" si="127"/>
        <v>124.74305865251804</v>
      </c>
      <c r="AS184" s="61" t="str">
        <f t="shared" si="128"/>
        <v>6.08171989395998+7.72056013396693i</v>
      </c>
      <c r="AT184" s="67">
        <f t="shared" si="129"/>
        <v>19.849517947577681</v>
      </c>
      <c r="AU184" s="64">
        <f t="shared" si="130"/>
        <v>51.77142104131898</v>
      </c>
    </row>
    <row r="185" spans="14:47" x14ac:dyDescent="0.25">
      <c r="N185" s="11">
        <v>67</v>
      </c>
      <c r="O185" s="53">
        <f t="shared" si="131"/>
        <v>467.7351412871983</v>
      </c>
      <c r="P185" s="51" t="str">
        <f t="shared" si="99"/>
        <v>122.692307692308</v>
      </c>
      <c r="Q185" s="18" t="str">
        <f t="shared" si="100"/>
        <v>1+3.01233823157197i</v>
      </c>
      <c r="R185" s="18">
        <f t="shared" si="108"/>
        <v>3.1739851325093102</v>
      </c>
      <c r="S185" s="18">
        <f t="shared" si="109"/>
        <v>1.2502750448196303</v>
      </c>
      <c r="T185" s="18" t="str">
        <f t="shared" si="101"/>
        <v>1+0.000602467646314395i</v>
      </c>
      <c r="U185" s="18">
        <f t="shared" si="110"/>
        <v>1.0000001814836159</v>
      </c>
      <c r="V185" s="18">
        <f t="shared" si="111"/>
        <v>6.024675734223996E-4</v>
      </c>
      <c r="W185" s="32" t="str">
        <f t="shared" si="102"/>
        <v>1-0.0285385803031411i</v>
      </c>
      <c r="X185" s="18">
        <f t="shared" si="112"/>
        <v>1.0004071424003924</v>
      </c>
      <c r="Y185" s="18">
        <f t="shared" si="113"/>
        <v>-2.8530836332746747E-2</v>
      </c>
      <c r="Z185" s="32" t="str">
        <f t="shared" si="103"/>
        <v>0.999992856288575+0.00304541178378803i</v>
      </c>
      <c r="AA185" s="18">
        <f t="shared" si="114"/>
        <v>0.99999749357741663</v>
      </c>
      <c r="AB185" s="18">
        <f t="shared" si="115"/>
        <v>3.0454241244130568E-3</v>
      </c>
      <c r="AC185" s="69" t="str">
        <f t="shared" si="116"/>
        <v>11.0414160077554-37.0616752940322i</v>
      </c>
      <c r="AD185" s="67">
        <f t="shared" si="117"/>
        <v>31.747807960580001</v>
      </c>
      <c r="AE185" s="64">
        <f t="shared" si="118"/>
        <v>-73.410150906445182</v>
      </c>
      <c r="AF185" s="32" t="str">
        <f t="shared" si="104"/>
        <v>-0.0000198412698412698</v>
      </c>
      <c r="AG185" s="32" t="str">
        <f t="shared" si="105"/>
        <v>0.0001016847832316i</v>
      </c>
      <c r="AH185" s="32">
        <f t="shared" si="119"/>
        <v>1.016847832316E-4</v>
      </c>
      <c r="AI185" s="32">
        <f t="shared" si="120"/>
        <v>1.5707963267948966</v>
      </c>
      <c r="AJ185" s="32" t="str">
        <f t="shared" si="106"/>
        <v>1+0.0352949380909204i</v>
      </c>
      <c r="AK185" s="32">
        <f t="shared" si="121"/>
        <v>1.0006226724669205</v>
      </c>
      <c r="AL185" s="32">
        <f t="shared" si="122"/>
        <v>3.5280293016694463E-2</v>
      </c>
      <c r="AM185" s="32" t="str">
        <f t="shared" si="107"/>
        <v>1+0.763253036216153i</v>
      </c>
      <c r="AN185" s="32">
        <f t="shared" si="123"/>
        <v>1.2579965013040284</v>
      </c>
      <c r="AO185" s="32">
        <f t="shared" si="124"/>
        <v>0.65192923596529206</v>
      </c>
      <c r="AP185" s="61" t="str">
        <f t="shared" si="125"/>
        <v>-0.141866286238473+0.200132422529125i</v>
      </c>
      <c r="AQ185" s="52">
        <f t="shared" si="126"/>
        <v>-12.205548187778973</v>
      </c>
      <c r="AR185" s="64">
        <f t="shared" si="127"/>
        <v>125.33138187215815</v>
      </c>
      <c r="AS185" s="61" t="str">
        <f t="shared" si="128"/>
        <v>5.8508381757482+7.46754756952446i</v>
      </c>
      <c r="AT185" s="67">
        <f t="shared" si="129"/>
        <v>19.542259772801025</v>
      </c>
      <c r="AU185" s="64">
        <f t="shared" si="130"/>
        <v>51.921230965712965</v>
      </c>
    </row>
    <row r="186" spans="14:47" x14ac:dyDescent="0.25">
      <c r="N186" s="11">
        <v>68</v>
      </c>
      <c r="O186" s="53">
        <f t="shared" si="131"/>
        <v>478.63009232263886</v>
      </c>
      <c r="P186" s="51" t="str">
        <f t="shared" si="99"/>
        <v>122.692307692308</v>
      </c>
      <c r="Q186" s="18" t="str">
        <f t="shared" si="100"/>
        <v>1+3.082504602747i</v>
      </c>
      <c r="R186" s="18">
        <f t="shared" si="108"/>
        <v>3.2406534257702471</v>
      </c>
      <c r="S186" s="18">
        <f t="shared" si="109"/>
        <v>1.2570967808348801</v>
      </c>
      <c r="T186" s="18" t="str">
        <f t="shared" si="101"/>
        <v>1+0.000616500920549401i</v>
      </c>
      <c r="U186" s="18">
        <f t="shared" si="110"/>
        <v>1.0000001900366744</v>
      </c>
      <c r="V186" s="18">
        <f t="shared" si="111"/>
        <v>6.1650084244422156E-4</v>
      </c>
      <c r="W186" s="32" t="str">
        <f t="shared" si="102"/>
        <v>1-0.0292033292338459i</v>
      </c>
      <c r="X186" s="18">
        <f t="shared" si="112"/>
        <v>1.0004263263420952</v>
      </c>
      <c r="Y186" s="18">
        <f t="shared" si="113"/>
        <v>-2.9195031611036402E-2</v>
      </c>
      <c r="Z186" s="32" t="str">
        <f t="shared" si="103"/>
        <v>0.999992519615828+0.00311634853695952i</v>
      </c>
      <c r="AA186" s="18">
        <f t="shared" si="114"/>
        <v>0.99999737545446388</v>
      </c>
      <c r="AB186" s="18">
        <f t="shared" si="115"/>
        <v>3.116361760177779E-3</v>
      </c>
      <c r="AC186" s="69" t="str">
        <f t="shared" si="116"/>
        <v>10.5403659767874-36.3804636318172i</v>
      </c>
      <c r="AD186" s="67">
        <f t="shared" si="117"/>
        <v>31.567421632327886</v>
      </c>
      <c r="AE186" s="64">
        <f t="shared" si="118"/>
        <v>-73.84232355534013</v>
      </c>
      <c r="AF186" s="32" t="str">
        <f t="shared" si="104"/>
        <v>-0.0000198412698412698</v>
      </c>
      <c r="AG186" s="32" t="str">
        <f t="shared" si="105"/>
        <v>0.000104053326102484i</v>
      </c>
      <c r="AH186" s="32">
        <f t="shared" si="119"/>
        <v>1.0405332610248399E-4</v>
      </c>
      <c r="AI186" s="32">
        <f t="shared" si="120"/>
        <v>1.5707963267948966</v>
      </c>
      <c r="AJ186" s="32" t="str">
        <f t="shared" si="106"/>
        <v>1+0.0361170628114219i</v>
      </c>
      <c r="AK186" s="32">
        <f t="shared" si="121"/>
        <v>1.0006520085554838</v>
      </c>
      <c r="AL186" s="32">
        <f t="shared" si="122"/>
        <v>3.6101370883848363E-2</v>
      </c>
      <c r="AM186" s="32" t="str">
        <f t="shared" si="107"/>
        <v>1+0.781031483296999i</v>
      </c>
      <c r="AN186" s="32">
        <f t="shared" si="123"/>
        <v>1.268861764693503</v>
      </c>
      <c r="AO186" s="32">
        <f t="shared" si="124"/>
        <v>0.6630672832904968</v>
      </c>
      <c r="AP186" s="61" t="str">
        <f t="shared" si="125"/>
        <v>-0.141857968180055+0.195807160690063i</v>
      </c>
      <c r="AQ186" s="52">
        <f t="shared" si="126"/>
        <v>-12.331105285905648</v>
      </c>
      <c r="AR186" s="64">
        <f t="shared" si="127"/>
        <v>125.92250067946991</v>
      </c>
      <c r="AS186" s="61" t="str">
        <f t="shared" si="128"/>
        <v>5.62832038699298+7.22473778680686i</v>
      </c>
      <c r="AT186" s="67">
        <f t="shared" si="129"/>
        <v>19.236316346422242</v>
      </c>
      <c r="AU186" s="64">
        <f t="shared" si="130"/>
        <v>52.080177124129811</v>
      </c>
    </row>
    <row r="187" spans="14:47" x14ac:dyDescent="0.25">
      <c r="N187" s="11">
        <v>69</v>
      </c>
      <c r="O187" s="53">
        <f t="shared" si="131"/>
        <v>489.77881936844625</v>
      </c>
      <c r="P187" s="51" t="str">
        <f t="shared" si="99"/>
        <v>122.692307692308</v>
      </c>
      <c r="Q187" s="18" t="str">
        <f t="shared" si="100"/>
        <v>1+3.15430535866418i</v>
      </c>
      <c r="R187" s="18">
        <f t="shared" si="108"/>
        <v>3.3090243721824657</v>
      </c>
      <c r="S187" s="18">
        <f t="shared" si="109"/>
        <v>1.2637925382076125</v>
      </c>
      <c r="T187" s="18" t="str">
        <f t="shared" si="101"/>
        <v>1+0.000630861071732836i</v>
      </c>
      <c r="U187" s="18">
        <f t="shared" si="110"/>
        <v>1.000000198992826</v>
      </c>
      <c r="V187" s="18">
        <f t="shared" si="111"/>
        <v>6.3086098804162921E-4</v>
      </c>
      <c r="W187" s="32" t="str">
        <f t="shared" si="102"/>
        <v>1-0.0298835621562622i</v>
      </c>
      <c r="X187" s="18">
        <f t="shared" si="112"/>
        <v>1.0004464140008436</v>
      </c>
      <c r="Y187" s="18">
        <f t="shared" si="113"/>
        <v>-2.9874671307490989E-2</v>
      </c>
      <c r="Z187" s="32" t="str">
        <f t="shared" si="103"/>
        <v>0.999992167076183+0.00318893761937507i</v>
      </c>
      <c r="AA187" s="18">
        <f t="shared" si="114"/>
        <v>0.99999725176465404</v>
      </c>
      <c r="AB187" s="18">
        <f t="shared" si="115"/>
        <v>3.1889517883090545E-3</v>
      </c>
      <c r="AC187" s="69" t="str">
        <f t="shared" si="116"/>
        <v>10.0576508161609-35.7052425238314i</v>
      </c>
      <c r="AD187" s="67">
        <f t="shared" si="117"/>
        <v>31.386249620367614</v>
      </c>
      <c r="AE187" s="64">
        <f t="shared" si="118"/>
        <v>-74.268239006148477</v>
      </c>
      <c r="AF187" s="32" t="str">
        <f t="shared" si="104"/>
        <v>-0.0000198412698412698</v>
      </c>
      <c r="AG187" s="32" t="str">
        <f t="shared" si="105"/>
        <v>0.000106477039424176i</v>
      </c>
      <c r="AH187" s="32">
        <f t="shared" si="119"/>
        <v>1.06477039424176E-4</v>
      </c>
      <c r="AI187" s="32">
        <f t="shared" si="120"/>
        <v>1.5707963267948966</v>
      </c>
      <c r="AJ187" s="32" t="str">
        <f t="shared" si="106"/>
        <v>1+0.0369583372766919i</v>
      </c>
      <c r="AK187" s="32">
        <f t="shared" si="121"/>
        <v>1.0006827262895357</v>
      </c>
      <c r="AL187" s="32">
        <f t="shared" si="122"/>
        <v>3.6941523692870439E-2</v>
      </c>
      <c r="AM187" s="32" t="str">
        <f t="shared" si="107"/>
        <v>1+0.799224043608463i</v>
      </c>
      <c r="AN187" s="32">
        <f t="shared" si="123"/>
        <v>1.2801402547697116</v>
      </c>
      <c r="AO187" s="32">
        <f t="shared" si="124"/>
        <v>0.67426761895760101</v>
      </c>
      <c r="AP187" s="61" t="str">
        <f t="shared" si="125"/>
        <v>-0.141849259149023+0.191585690113465i</v>
      </c>
      <c r="AQ187" s="52">
        <f t="shared" si="126"/>
        <v>-12.454507044914344</v>
      </c>
      <c r="AR187" s="64">
        <f t="shared" si="127"/>
        <v>126.51609543222173</v>
      </c>
      <c r="AS187" s="61" t="str">
        <f t="shared" si="128"/>
        <v>5.41394321254488+6.99166417227612i</v>
      </c>
      <c r="AT187" s="67">
        <f t="shared" si="129"/>
        <v>18.931742575453267</v>
      </c>
      <c r="AU187" s="64">
        <f t="shared" si="130"/>
        <v>52.247856426073291</v>
      </c>
    </row>
    <row r="188" spans="14:47" x14ac:dyDescent="0.25">
      <c r="N188" s="11">
        <v>70</v>
      </c>
      <c r="O188" s="53">
        <f t="shared" si="131"/>
        <v>501.18723362727269</v>
      </c>
      <c r="P188" s="51" t="str">
        <f t="shared" si="99"/>
        <v>122.692307692308</v>
      </c>
      <c r="Q188" s="18" t="str">
        <f t="shared" si="100"/>
        <v>1+3.22777856903468i</v>
      </c>
      <c r="R188" s="18">
        <f t="shared" si="108"/>
        <v>3.3791351690513309</v>
      </c>
      <c r="S188" s="18">
        <f t="shared" si="109"/>
        <v>1.2703634647399813</v>
      </c>
      <c r="T188" s="18" t="str">
        <f t="shared" si="101"/>
        <v>1+0.000645555713806937i</v>
      </c>
      <c r="U188" s="18">
        <f t="shared" si="110"/>
        <v>1.0000002083710682</v>
      </c>
      <c r="V188" s="18">
        <f t="shared" si="111"/>
        <v>6.4555562413019427E-4</v>
      </c>
      <c r="W188" s="32" t="str">
        <f t="shared" si="102"/>
        <v>1-0.0305796397388894i</v>
      </c>
      <c r="X188" s="18">
        <f t="shared" si="112"/>
        <v>1.0004674479294968</v>
      </c>
      <c r="Y188" s="18">
        <f t="shared" si="113"/>
        <v>-3.0570113263177007E-2</v>
      </c>
      <c r="Z188" s="32" t="str">
        <f t="shared" si="103"/>
        <v>0.999991797921856+0.00326321751872697i</v>
      </c>
      <c r="AA188" s="18">
        <f t="shared" si="114"/>
        <v>0.99999712224563964</v>
      </c>
      <c r="AB188" s="18">
        <f t="shared" si="115"/>
        <v>3.2632327010136538E-3</v>
      </c>
      <c r="AC188" s="69" t="str">
        <f t="shared" si="116"/>
        <v>9.59276640154593-35.0363805667601i</v>
      </c>
      <c r="AD188" s="67">
        <f t="shared" si="117"/>
        <v>31.20432147256356</v>
      </c>
      <c r="AE188" s="64">
        <f t="shared" si="118"/>
        <v>-74.687985295067804</v>
      </c>
      <c r="AF188" s="32" t="str">
        <f t="shared" si="104"/>
        <v>-0.0000198412698412698</v>
      </c>
      <c r="AG188" s="32" t="str">
        <f t="shared" si="105"/>
        <v>0.000108957208281561i</v>
      </c>
      <c r="AH188" s="32">
        <f t="shared" si="119"/>
        <v>1.0895720828156101E-4</v>
      </c>
      <c r="AI188" s="32">
        <f t="shared" si="120"/>
        <v>1.5707963267948966</v>
      </c>
      <c r="AJ188" s="32" t="str">
        <f t="shared" si="106"/>
        <v>1+0.0378192075415874i</v>
      </c>
      <c r="AK188" s="32">
        <f t="shared" si="121"/>
        <v>1.0007148906951837</v>
      </c>
      <c r="AL188" s="32">
        <f t="shared" si="122"/>
        <v>3.7801192156971697E-2</v>
      </c>
      <c r="AM188" s="32" t="str">
        <f t="shared" si="107"/>
        <v>1+0.817840363086827i</v>
      </c>
      <c r="AN188" s="32">
        <f t="shared" si="123"/>
        <v>1.291844750538544</v>
      </c>
      <c r="AO188" s="32">
        <f t="shared" si="124"/>
        <v>0.68552494169249212</v>
      </c>
      <c r="AP188" s="61" t="str">
        <f t="shared" si="125"/>
        <v>-0.141840140820052+0.187465770502346i</v>
      </c>
      <c r="AQ188" s="52">
        <f t="shared" si="126"/>
        <v>-12.575730819584528</v>
      </c>
      <c r="AR188" s="64">
        <f t="shared" si="127"/>
        <v>127.11183713877416</v>
      </c>
      <c r="AS188" s="61" t="str">
        <f t="shared" si="128"/>
        <v>5.20748274131197+6.76788049812901i</v>
      </c>
      <c r="AT188" s="67">
        <f t="shared" si="129"/>
        <v>18.628590652979035</v>
      </c>
      <c r="AU188" s="64">
        <f t="shared" si="130"/>
        <v>52.423851843706345</v>
      </c>
    </row>
    <row r="189" spans="14:47" x14ac:dyDescent="0.25">
      <c r="N189" s="11">
        <v>71</v>
      </c>
      <c r="O189" s="53">
        <f t="shared" si="131"/>
        <v>512.86138399136519</v>
      </c>
      <c r="P189" s="51" t="str">
        <f t="shared" si="99"/>
        <v>122.692307692308</v>
      </c>
      <c r="Q189" s="18" t="str">
        <f t="shared" si="100"/>
        <v>1+3.30296319032719i</v>
      </c>
      <c r="R189" s="18">
        <f t="shared" si="108"/>
        <v>3.4510238823654014</v>
      </c>
      <c r="S189" s="18">
        <f t="shared" si="109"/>
        <v>1.27681077390347</v>
      </c>
      <c r="T189" s="18" t="str">
        <f t="shared" si="101"/>
        <v>1+0.000660592638065438i</v>
      </c>
      <c r="U189" s="18">
        <f t="shared" si="110"/>
        <v>1.0000002181912928</v>
      </c>
      <c r="V189" s="18">
        <f t="shared" si="111"/>
        <v>6.605925419750782E-4</v>
      </c>
      <c r="W189" s="32" t="str">
        <f t="shared" si="102"/>
        <v>1-0.0312919310512756i</v>
      </c>
      <c r="X189" s="18">
        <f t="shared" si="112"/>
        <v>1.0004894726827054</v>
      </c>
      <c r="Y189" s="18">
        <f t="shared" si="113"/>
        <v>-3.128172351833973E-2</v>
      </c>
      <c r="Z189" s="32" t="str">
        <f t="shared" si="103"/>
        <v>0.999991411369822+0.0033392276192011i</v>
      </c>
      <c r="AA189" s="18">
        <f t="shared" si="114"/>
        <v>0.99999698662271042</v>
      </c>
      <c r="AB189" s="18">
        <f t="shared" si="115"/>
        <v>3.3392438873148102E-3</v>
      </c>
      <c r="AC189" s="69" t="str">
        <f t="shared" si="116"/>
        <v>9.14520874594008-34.3742163057765i</v>
      </c>
      <c r="AD189" s="67">
        <f t="shared" si="117"/>
        <v>31.021665940742885</v>
      </c>
      <c r="AE189" s="64">
        <f t="shared" si="118"/>
        <v>-75.10165473187223</v>
      </c>
      <c r="AF189" s="32" t="str">
        <f t="shared" si="104"/>
        <v>-0.0000198412698412698</v>
      </c>
      <c r="AG189" s="32" t="str">
        <f t="shared" si="105"/>
        <v>0.000111495147692996i</v>
      </c>
      <c r="AH189" s="32">
        <f t="shared" si="119"/>
        <v>1.1149514769299601E-4</v>
      </c>
      <c r="AI189" s="32">
        <f t="shared" si="120"/>
        <v>1.5707963267948966</v>
      </c>
      <c r="AJ189" s="32" t="str">
        <f t="shared" si="106"/>
        <v>1+0.0387001300509178i</v>
      </c>
      <c r="AK189" s="32">
        <f t="shared" si="121"/>
        <v>1.0007485698545653</v>
      </c>
      <c r="AL189" s="32">
        <f t="shared" si="122"/>
        <v>3.8680826998284318E-2</v>
      </c>
      <c r="AM189" s="32" t="str">
        <f t="shared" si="107"/>
        <v>1+0.836890312351097i</v>
      </c>
      <c r="AN189" s="32">
        <f t="shared" si="123"/>
        <v>1.3039882648655687</v>
      </c>
      <c r="AO189" s="32">
        <f t="shared" si="124"/>
        <v>0.69683380807075324</v>
      </c>
      <c r="AP189" s="61" t="str">
        <f t="shared" si="125"/>
        <v>-0.141830594013851+0.183445215259786i</v>
      </c>
      <c r="AQ189" s="52">
        <f t="shared" si="126"/>
        <v>-12.694755974361463</v>
      </c>
      <c r="AR189" s="64">
        <f t="shared" si="127"/>
        <v>127.70938808940605</v>
      </c>
      <c r="AS189" s="61" t="str">
        <f t="shared" si="128"/>
        <v>5.00871512078227+6.55296030440354i</v>
      </c>
      <c r="AT189" s="67">
        <f t="shared" si="129"/>
        <v>18.326909966381425</v>
      </c>
      <c r="AU189" s="64">
        <f t="shared" si="130"/>
        <v>52.607733357533803</v>
      </c>
    </row>
    <row r="190" spans="14:47" x14ac:dyDescent="0.25">
      <c r="N190" s="11">
        <v>72</v>
      </c>
      <c r="O190" s="53">
        <f t="shared" si="131"/>
        <v>524.80746024977248</v>
      </c>
      <c r="P190" s="51" t="str">
        <f t="shared" si="99"/>
        <v>122.692307692308</v>
      </c>
      <c r="Q190" s="18" t="str">
        <f t="shared" si="100"/>
        <v>1+3.3798990864231i</v>
      </c>
      <c r="R190" s="18">
        <f t="shared" si="108"/>
        <v>3.5247294696761773</v>
      </c>
      <c r="S190" s="18">
        <f t="shared" si="109"/>
        <v>1.2831357393574956</v>
      </c>
      <c r="T190" s="18" t="str">
        <f t="shared" si="101"/>
        <v>1+0.000675979817284621i</v>
      </c>
      <c r="U190" s="18">
        <f t="shared" si="110"/>
        <v>1.0000002284743306</v>
      </c>
      <c r="V190" s="18">
        <f t="shared" si="111"/>
        <v>6.7597971432194659E-4</v>
      </c>
      <c r="W190" s="32" t="str">
        <f t="shared" si="102"/>
        <v>1-0.0320208137597029i</v>
      </c>
      <c r="X190" s="18">
        <f t="shared" si="112"/>
        <v>1.0005125349108994</v>
      </c>
      <c r="Y190" s="18">
        <f t="shared" si="113"/>
        <v>-3.2009876493693107E-2</v>
      </c>
      <c r="Z190" s="32" t="str">
        <f t="shared" si="103"/>
        <v>0.999991006600152+0.00341700822235884i</v>
      </c>
      <c r="AA190" s="18">
        <f t="shared" si="114"/>
        <v>0.99999684460821037</v>
      </c>
      <c r="AB190" s="18">
        <f t="shared" si="115"/>
        <v>3.4170256539572232E-3</v>
      </c>
      <c r="AC190" s="69" t="str">
        <f t="shared" si="116"/>
        <v>8.71447535371993-33.719059325146i</v>
      </c>
      <c r="AD190" s="67">
        <f t="shared" si="117"/>
        <v>30.838310982841669</v>
      </c>
      <c r="AE190" s="64">
        <f t="shared" si="118"/>
        <v>-75.509343597199177</v>
      </c>
      <c r="AF190" s="32" t="str">
        <f t="shared" si="104"/>
        <v>-0.0000198412698412698</v>
      </c>
      <c r="AG190" s="32" t="str">
        <f t="shared" si="105"/>
        <v>0.00011409220330755i</v>
      </c>
      <c r="AH190" s="32">
        <f t="shared" si="119"/>
        <v>1.1409220330755E-4</v>
      </c>
      <c r="AI190" s="32">
        <f t="shared" si="120"/>
        <v>1.5707963267948966</v>
      </c>
      <c r="AJ190" s="32" t="str">
        <f t="shared" si="106"/>
        <v>1+0.039601571881458i</v>
      </c>
      <c r="AK190" s="32">
        <f t="shared" si="121"/>
        <v>1.000783835049049</v>
      </c>
      <c r="AL190" s="32">
        <f t="shared" si="122"/>
        <v>3.9580889162745374E-2</v>
      </c>
      <c r="AM190" s="32" t="str">
        <f t="shared" si="107"/>
        <v>1+0.85638399193653i</v>
      </c>
      <c r="AN190" s="32">
        <f t="shared" si="123"/>
        <v>1.316584042758056</v>
      </c>
      <c r="AO190" s="32">
        <f t="shared" si="124"/>
        <v>0.7081886445870893</v>
      </c>
      <c r="AP190" s="61" t="str">
        <f t="shared" si="125"/>
        <v>-0.141820598657846+0.179521890319378i</v>
      </c>
      <c r="AQ190" s="52">
        <f t="shared" si="126"/>
        <v>-12.811563968587084</v>
      </c>
      <c r="AR190" s="64">
        <f t="shared" si="127"/>
        <v>128.30840253553009</v>
      </c>
      <c r="AS190" s="61" t="str">
        <f t="shared" si="128"/>
        <v>4.81741715818786+6.34649626831306i</v>
      </c>
      <c r="AT190" s="67">
        <f t="shared" si="129"/>
        <v>18.026747014254589</v>
      </c>
      <c r="AU190" s="64">
        <f t="shared" si="130"/>
        <v>52.799058938330894</v>
      </c>
    </row>
    <row r="191" spans="14:47" x14ac:dyDescent="0.25">
      <c r="N191" s="11">
        <v>73</v>
      </c>
      <c r="O191" s="53">
        <f t="shared" si="131"/>
        <v>537.03179637025301</v>
      </c>
      <c r="P191" s="51" t="str">
        <f t="shared" si="99"/>
        <v>122.692307692308</v>
      </c>
      <c r="Q191" s="18" t="str">
        <f t="shared" si="100"/>
        <v>1+3.45862704975288i</v>
      </c>
      <c r="R191" s="18">
        <f t="shared" si="108"/>
        <v>3.6002918033518214</v>
      </c>
      <c r="S191" s="18">
        <f t="shared" si="109"/>
        <v>1.2893396896732603</v>
      </c>
      <c r="T191" s="18" t="str">
        <f t="shared" si="101"/>
        <v>1+0.000691725409950576i</v>
      </c>
      <c r="U191" s="18">
        <f t="shared" si="110"/>
        <v>1.0000002392419929</v>
      </c>
      <c r="V191" s="18">
        <f t="shared" si="111"/>
        <v>6.9172529962408414E-4</v>
      </c>
      <c r="W191" s="32" t="str">
        <f t="shared" si="102"/>
        <v>1-0.0327666743274311i</v>
      </c>
      <c r="X191" s="18">
        <f t="shared" si="112"/>
        <v>1.0005366834586726</v>
      </c>
      <c r="Y191" s="18">
        <f t="shared" si="113"/>
        <v>-3.2754955175243586E-2</v>
      </c>
      <c r="Z191" s="32" t="str">
        <f t="shared" si="103"/>
        <v>0.999990582754276+0.00349660056850551i</v>
      </c>
      <c r="AA191" s="18">
        <f t="shared" si="114"/>
        <v>0.99999669590092755</v>
      </c>
      <c r="AB191" s="18">
        <f t="shared" si="115"/>
        <v>3.4966192468002372E-3</v>
      </c>
      <c r="AC191" s="69" t="str">
        <f t="shared" si="116"/>
        <v>8.30006645824136-33.0711913658348i</v>
      </c>
      <c r="AD191" s="67">
        <f t="shared" si="117"/>
        <v>30.654283767178562</v>
      </c>
      <c r="AE191" s="64">
        <f t="shared" si="118"/>
        <v>-75.911151851821728</v>
      </c>
      <c r="AF191" s="32" t="str">
        <f t="shared" si="104"/>
        <v>-0.0000198412698412698</v>
      </c>
      <c r="AG191" s="32" t="str">
        <f t="shared" si="105"/>
        <v>0.000116749752118487i</v>
      </c>
      <c r="AH191" s="32">
        <f t="shared" si="119"/>
        <v>1.16749752118487E-4</v>
      </c>
      <c r="AI191" s="32">
        <f t="shared" si="120"/>
        <v>1.5707963267948966</v>
      </c>
      <c r="AJ191" s="32" t="str">
        <f t="shared" si="106"/>
        <v>1+0.0405240109895985i</v>
      </c>
      <c r="AK191" s="32">
        <f t="shared" si="121"/>
        <v>1.0008207609091075</v>
      </c>
      <c r="AL191" s="32">
        <f t="shared" si="122"/>
        <v>4.0501850038692049E-2</v>
      </c>
      <c r="AM191" s="32" t="str">
        <f t="shared" si="107"/>
        <v>1+0.876331737650068i</v>
      </c>
      <c r="AN191" s="32">
        <f t="shared" si="123"/>
        <v>1.3296455596935552</v>
      </c>
      <c r="AO191" s="32">
        <f t="shared" si="124"/>
        <v>0.71958376050662309</v>
      </c>
      <c r="AP191" s="61" t="str">
        <f t="shared" si="125"/>
        <v>-0.141810133745095+0.175693713002808i</v>
      </c>
      <c r="AQ191" s="52">
        <f t="shared" si="126"/>
        <v>-12.926138434672563</v>
      </c>
      <c r="AR191" s="64">
        <f t="shared" si="127"/>
        <v>128.90852741349332</v>
      </c>
      <c r="AS191" s="61" t="str">
        <f t="shared" si="128"/>
        <v>4.63336686995354+6.14809956491715i</v>
      </c>
      <c r="AT191" s="67">
        <f t="shared" si="129"/>
        <v>17.728145332505999</v>
      </c>
      <c r="AU191" s="64">
        <f t="shared" si="130"/>
        <v>52.997375561671561</v>
      </c>
    </row>
    <row r="192" spans="14:47" x14ac:dyDescent="0.25">
      <c r="N192" s="11">
        <v>74</v>
      </c>
      <c r="O192" s="53">
        <f t="shared" si="131"/>
        <v>549.54087385762534</v>
      </c>
      <c r="P192" s="51" t="str">
        <f t="shared" si="99"/>
        <v>122.692307692308</v>
      </c>
      <c r="Q192" s="18" t="str">
        <f t="shared" si="100"/>
        <v>1+3.53918882292478i</v>
      </c>
      <c r="R192" s="18">
        <f t="shared" si="108"/>
        <v>3.6777516942169561</v>
      </c>
      <c r="S192" s="18">
        <f t="shared" si="109"/>
        <v>1.2954240032670485</v>
      </c>
      <c r="T192" s="18" t="str">
        <f t="shared" si="101"/>
        <v>1+0.000707837764584957i</v>
      </c>
      <c r="U192" s="18">
        <f t="shared" si="110"/>
        <v>1.000000250517119</v>
      </c>
      <c r="V192" s="18">
        <f t="shared" si="111"/>
        <v>7.0783764636799266E-4</v>
      </c>
      <c r="W192" s="32" t="str">
        <f t="shared" si="102"/>
        <v>1-0.033529908219606i</v>
      </c>
      <c r="X192" s="18">
        <f t="shared" si="112"/>
        <v>1.0005619694677663</v>
      </c>
      <c r="Y192" s="18">
        <f t="shared" si="113"/>
        <v>-3.3517351302681526E-2</v>
      </c>
      <c r="Z192" s="32" t="str">
        <f t="shared" si="103"/>
        <v>0.999990138933158+0.00357804685855659i</v>
      </c>
      <c r="AA192" s="18">
        <f t="shared" si="114"/>
        <v>0.99999654018545414</v>
      </c>
      <c r="AB192" s="18">
        <f t="shared" si="115"/>
        <v>3.5780668727105882E-3</v>
      </c>
      <c r="AC192" s="69" t="str">
        <f t="shared" si="116"/>
        <v>7.90148614715079-32.4308674614977i</v>
      </c>
      <c r="AD192" s="67">
        <f t="shared" si="117"/>
        <v>30.469610678673682</v>
      </c>
      <c r="AE192" s="64">
        <f t="shared" si="118"/>
        <v>-76.307182858148735</v>
      </c>
      <c r="AF192" s="32" t="str">
        <f t="shared" si="104"/>
        <v>-0.0000198412698412698</v>
      </c>
      <c r="AG192" s="32" t="str">
        <f t="shared" si="105"/>
        <v>0.000119469203193363i</v>
      </c>
      <c r="AH192" s="32">
        <f t="shared" si="119"/>
        <v>1.19469203193363E-4</v>
      </c>
      <c r="AI192" s="32">
        <f t="shared" si="120"/>
        <v>1.5707963267948966</v>
      </c>
      <c r="AJ192" s="32" t="str">
        <f t="shared" si="106"/>
        <v>1+0.0414679364647645i</v>
      </c>
      <c r="AK192" s="32">
        <f t="shared" si="121"/>
        <v>1.0008594255711667</v>
      </c>
      <c r="AL192" s="32">
        <f t="shared" si="122"/>
        <v>4.1444191679164438E-2</v>
      </c>
      <c r="AM192" s="32" t="str">
        <f t="shared" si="107"/>
        <v>1+0.896744126050532i</v>
      </c>
      <c r="AN192" s="32">
        <f t="shared" si="123"/>
        <v>1.343186520035893</v>
      </c>
      <c r="AO192" s="32">
        <f t="shared" si="124"/>
        <v>0.73101336143188989</v>
      </c>
      <c r="AP192" s="61" t="str">
        <f t="shared" si="125"/>
        <v>-0.141799177291374+0.171958650903921i</v>
      </c>
      <c r="AQ192" s="52">
        <f t="shared" si="126"/>
        <v>-13.038465248572738</v>
      </c>
      <c r="AR192" s="64">
        <f t="shared" si="127"/>
        <v>129.50940310917144</v>
      </c>
      <c r="AS192" s="61" t="str">
        <f t="shared" si="128"/>
        <v>4.45634398127784+5.95739922288604i</v>
      </c>
      <c r="AT192" s="67">
        <f t="shared" si="129"/>
        <v>17.431145430100948</v>
      </c>
      <c r="AU192" s="64">
        <f t="shared" si="130"/>
        <v>53.20222025102273</v>
      </c>
    </row>
    <row r="193" spans="14:47" x14ac:dyDescent="0.25">
      <c r="N193" s="11">
        <v>75</v>
      </c>
      <c r="O193" s="53">
        <f t="shared" si="131"/>
        <v>562.34132519034927</v>
      </c>
      <c r="P193" s="51" t="str">
        <f t="shared" si="99"/>
        <v>122.692307692308</v>
      </c>
      <c r="Q193" s="18" t="str">
        <f t="shared" si="100"/>
        <v>1+3.6216271208573i</v>
      </c>
      <c r="R193" s="18">
        <f t="shared" si="108"/>
        <v>3.7571509155913785</v>
      </c>
      <c r="S193" s="18">
        <f t="shared" si="109"/>
        <v>1.3013901035456379</v>
      </c>
      <c r="T193" s="18" t="str">
        <f t="shared" si="101"/>
        <v>1+0.00072432542417146i</v>
      </c>
      <c r="U193" s="18">
        <f t="shared" si="110"/>
        <v>1.0000002623236257</v>
      </c>
      <c r="V193" s="18">
        <f t="shared" si="111"/>
        <v>7.2432529749970223E-4</v>
      </c>
      <c r="W193" s="32" t="str">
        <f t="shared" si="102"/>
        <v>1-0.0343109201129396i</v>
      </c>
      <c r="X193" s="18">
        <f t="shared" si="112"/>
        <v>1.0005884464848656</v>
      </c>
      <c r="Y193" s="18">
        <f t="shared" si="113"/>
        <v>-3.42974655613697E-2</v>
      </c>
      <c r="Z193" s="32" t="str">
        <f t="shared" si="103"/>
        <v>0.999989674195395+0.00366139027641313i</v>
      </c>
      <c r="AA193" s="18">
        <f t="shared" si="114"/>
        <v>0.99999637713152156</v>
      </c>
      <c r="AB193" s="18">
        <f t="shared" si="115"/>
        <v>3.6614117219662011E-3</v>
      </c>
      <c r="AC193" s="69" t="str">
        <f t="shared" si="116"/>
        <v>7.5182433799333-31.7983170850062i</v>
      </c>
      <c r="AD193" s="67">
        <f t="shared" si="117"/>
        <v>30.284317326837382</v>
      </c>
      <c r="AE193" s="64">
        <f t="shared" si="118"/>
        <v>-76.69754311410712</v>
      </c>
      <c r="AF193" s="32" t="str">
        <f t="shared" si="104"/>
        <v>-0.0000198412698412698</v>
      </c>
      <c r="AG193" s="32" t="str">
        <f t="shared" si="105"/>
        <v>0.000122251998421134i</v>
      </c>
      <c r="AH193" s="32">
        <f t="shared" si="119"/>
        <v>1.22251998421134E-4</v>
      </c>
      <c r="AI193" s="32">
        <f t="shared" si="120"/>
        <v>1.5707963267948966</v>
      </c>
      <c r="AJ193" s="32" t="str">
        <f t="shared" si="106"/>
        <v>1+0.042433848788737i</v>
      </c>
      <c r="AK193" s="32">
        <f t="shared" si="121"/>
        <v>1.0008999108417511</v>
      </c>
      <c r="AL193" s="32">
        <f t="shared" si="122"/>
        <v>4.240840702790364E-2</v>
      </c>
      <c r="AM193" s="32" t="str">
        <f t="shared" si="107"/>
        <v>1+0.917631980056438i</v>
      </c>
      <c r="AN193" s="32">
        <f t="shared" si="123"/>
        <v>1.3572208555803653</v>
      </c>
      <c r="AO193" s="32">
        <f t="shared" si="124"/>
        <v>0.74247156351135135</v>
      </c>
      <c r="AP193" s="61" t="str">
        <f t="shared" si="125"/>
        <v>-0.141787706290337+0.168314720798612i</v>
      </c>
      <c r="AQ193" s="52">
        <f t="shared" si="126"/>
        <v>-13.148532591978949</v>
      </c>
      <c r="AR193" s="64">
        <f t="shared" si="127"/>
        <v>130.11066425910809</v>
      </c>
      <c r="AS193" s="61" t="str">
        <f t="shared" si="128"/>
        <v>4.2861303778553+5.77404147876535i</v>
      </c>
      <c r="AT193" s="67">
        <f t="shared" si="129"/>
        <v>17.135784734858433</v>
      </c>
      <c r="AU193" s="64">
        <f t="shared" si="130"/>
        <v>53.413121145000964</v>
      </c>
    </row>
    <row r="194" spans="14:47" x14ac:dyDescent="0.25">
      <c r="N194" s="11">
        <v>76</v>
      </c>
      <c r="O194" s="53">
        <f t="shared" si="131"/>
        <v>575.43993733715706</v>
      </c>
      <c r="P194" s="51" t="str">
        <f t="shared" si="99"/>
        <v>122.692307692308</v>
      </c>
      <c r="Q194" s="18" t="str">
        <f t="shared" si="100"/>
        <v>1+3.7059856534272i</v>
      </c>
      <c r="R194" s="18">
        <f t="shared" si="108"/>
        <v>3.8385322277412541</v>
      </c>
      <c r="S194" s="18">
        <f t="shared" si="109"/>
        <v>1.3072394542651218</v>
      </c>
      <c r="T194" s="18" t="str">
        <f t="shared" si="101"/>
        <v>1+0.000741197130685441i</v>
      </c>
      <c r="U194" s="18">
        <f t="shared" si="110"/>
        <v>1.0000002746865555</v>
      </c>
      <c r="V194" s="18">
        <f t="shared" si="111"/>
        <v>7.4119699495420915E-4</v>
      </c>
      <c r="W194" s="32" t="str">
        <f t="shared" si="102"/>
        <v>1-0.0351101241102759i</v>
      </c>
      <c r="X194" s="18">
        <f t="shared" si="112"/>
        <v>1.000616170574431</v>
      </c>
      <c r="Y194" s="18">
        <f t="shared" si="113"/>
        <v>-3.5095707777959284E-2</v>
      </c>
      <c r="Z194" s="32" t="str">
        <f t="shared" si="103"/>
        <v>0.999989187555217+0.00374667501185845i</v>
      </c>
      <c r="AA194" s="18">
        <f t="shared" si="114"/>
        <v>0.99999620639329811</v>
      </c>
      <c r="AB194" s="18">
        <f t="shared" si="115"/>
        <v>3.7466979911833409E-3</v>
      </c>
      <c r="AC194" s="69" t="str">
        <f t="shared" si="116"/>
        <v>7.14985290250213-31.1737452984407i</v>
      </c>
      <c r="AD194" s="67">
        <f t="shared" si="117"/>
        <v>30.098428555360215</v>
      </c>
      <c r="AE194" s="64">
        <f t="shared" si="118"/>
        <v>-77.082341999484257</v>
      </c>
      <c r="AF194" s="32" t="str">
        <f t="shared" si="104"/>
        <v>-0.0000198412698412698</v>
      </c>
      <c r="AG194" s="32" t="str">
        <f t="shared" si="105"/>
        <v>0.000125099613276664i</v>
      </c>
      <c r="AH194" s="32">
        <f t="shared" si="119"/>
        <v>1.2509961327666401E-4</v>
      </c>
      <c r="AI194" s="32">
        <f t="shared" si="120"/>
        <v>1.5707963267948966</v>
      </c>
      <c r="AJ194" s="32" t="str">
        <f t="shared" si="106"/>
        <v>1+0.0434222601010158i</v>
      </c>
      <c r="AK194" s="32">
        <f t="shared" si="121"/>
        <v>1.0009423023692625</v>
      </c>
      <c r="AL194" s="32">
        <f t="shared" si="122"/>
        <v>4.3395000149029236E-2</v>
      </c>
      <c r="AM194" s="32" t="str">
        <f t="shared" si="107"/>
        <v>1+0.939006374684466i</v>
      </c>
      <c r="AN194" s="32">
        <f t="shared" si="123"/>
        <v>1.3717627242705146</v>
      </c>
      <c r="AO194" s="32">
        <f t="shared" si="124"/>
        <v>0.75395240820803766</v>
      </c>
      <c r="AP194" s="61" t="str">
        <f t="shared" si="125"/>
        <v>-0.141775696666689+0.164759987579921i</v>
      </c>
      <c r="AQ194" s="52">
        <f t="shared" si="126"/>
        <v>-13.25633100570826</v>
      </c>
      <c r="AR194" s="64">
        <f t="shared" si="127"/>
        <v>130.71194058353618</v>
      </c>
      <c r="AS194" s="61" t="str">
        <f t="shared" si="128"/>
        <v>4.12251051187412+5.59768913281086i</v>
      </c>
      <c r="AT194" s="67">
        <f t="shared" si="129"/>
        <v>16.84209754965195</v>
      </c>
      <c r="AU194" s="64">
        <f t="shared" si="130"/>
        <v>53.629598584051934</v>
      </c>
    </row>
    <row r="195" spans="14:47" x14ac:dyDescent="0.25">
      <c r="N195" s="11">
        <v>77</v>
      </c>
      <c r="O195" s="53">
        <f t="shared" si="131"/>
        <v>588.84365535558959</v>
      </c>
      <c r="P195" s="51" t="str">
        <f t="shared" si="99"/>
        <v>122.692307692308</v>
      </c>
      <c r="Q195" s="18" t="str">
        <f t="shared" si="100"/>
        <v>1+3.79230914864506i</v>
      </c>
      <c r="R195" s="18">
        <f t="shared" si="108"/>
        <v>3.9219394027568839</v>
      </c>
      <c r="S195" s="18">
        <f t="shared" si="109"/>
        <v>1.312973555103182</v>
      </c>
      <c r="T195" s="18" t="str">
        <f t="shared" si="101"/>
        <v>1+0.000758461829729014i</v>
      </c>
      <c r="U195" s="18">
        <f t="shared" si="110"/>
        <v>1.0000002876321321</v>
      </c>
      <c r="V195" s="18">
        <f t="shared" si="111"/>
        <v>7.5846168429038107E-4</v>
      </c>
      <c r="W195" s="32" t="str">
        <f t="shared" si="102"/>
        <v>1-0.0359279439601529i</v>
      </c>
      <c r="X195" s="18">
        <f t="shared" si="112"/>
        <v>1.0006452004368001</v>
      </c>
      <c r="Y195" s="18">
        <f t="shared" si="113"/>
        <v>-3.5912497119654961E-2</v>
      </c>
      <c r="Z195" s="32" t="str">
        <f t="shared" si="103"/>
        <v>0.999988677980393+0.00383394628398816i</v>
      </c>
      <c r="AA195" s="18">
        <f t="shared" si="114"/>
        <v>0.99999602760865136</v>
      </c>
      <c r="AB195" s="18">
        <f t="shared" si="115"/>
        <v>3.8339709067792627E-3</v>
      </c>
      <c r="AC195" s="69" t="str">
        <f t="shared" si="116"/>
        <v>6.79583606383963-30.5573339002087i</v>
      </c>
      <c r="AD195" s="67">
        <f t="shared" si="117"/>
        <v>29.911968453143881</v>
      </c>
      <c r="AE195" s="64">
        <f t="shared" si="118"/>
        <v>-77.461691534733902</v>
      </c>
      <c r="AF195" s="32" t="str">
        <f t="shared" si="104"/>
        <v>-0.0000198412698412698</v>
      </c>
      <c r="AG195" s="32" t="str">
        <f t="shared" si="105"/>
        <v>0.000128013557603043i</v>
      </c>
      <c r="AH195" s="32">
        <f t="shared" si="119"/>
        <v>1.2801355760304301E-4</v>
      </c>
      <c r="AI195" s="32">
        <f t="shared" si="120"/>
        <v>1.5707963267948966</v>
      </c>
      <c r="AJ195" s="32" t="str">
        <f t="shared" si="106"/>
        <v>1+0.0444336944703616i</v>
      </c>
      <c r="AK195" s="32">
        <f t="shared" si="121"/>
        <v>1.0009866898237387</v>
      </c>
      <c r="AL195" s="32">
        <f t="shared" si="122"/>
        <v>4.4404486460367217E-2</v>
      </c>
      <c r="AM195" s="32" t="str">
        <f t="shared" si="107"/>
        <v>1+0.96087864292157i</v>
      </c>
      <c r="AN195" s="32">
        <f t="shared" si="123"/>
        <v>1.3868265091289529</v>
      </c>
      <c r="AO195" s="32">
        <f t="shared" si="124"/>
        <v>0.76544987754040339</v>
      </c>
      <c r="AP195" s="61" t="str">
        <f t="shared" si="125"/>
        <v>-0.141763123227268+0.161292563217688i</v>
      </c>
      <c r="AQ195" s="52">
        <f t="shared" si="126"/>
        <v>-13.361853433839869</v>
      </c>
      <c r="AR195" s="64">
        <f t="shared" si="127"/>
        <v>131.31285774624598</v>
      </c>
      <c r="AS195" s="61" t="str">
        <f t="shared" si="128"/>
        <v>3.965271764513+5.42802090913596i</v>
      </c>
      <c r="AT195" s="67">
        <f t="shared" si="129"/>
        <v>16.550115019304013</v>
      </c>
      <c r="AU195" s="64">
        <f t="shared" si="130"/>
        <v>53.85116621151213</v>
      </c>
    </row>
    <row r="196" spans="14:47" x14ac:dyDescent="0.25">
      <c r="N196" s="11">
        <v>78</v>
      </c>
      <c r="O196" s="53">
        <f t="shared" si="131"/>
        <v>602.55958607435832</v>
      </c>
      <c r="P196" s="51" t="str">
        <f t="shared" si="99"/>
        <v>122.692307692308</v>
      </c>
      <c r="Q196" s="18" t="str">
        <f t="shared" si="100"/>
        <v>1+3.88064337637069i</v>
      </c>
      <c r="R196" s="18">
        <f t="shared" si="108"/>
        <v>4.0074172498717564</v>
      </c>
      <c r="S196" s="18">
        <f t="shared" si="109"/>
        <v>1.3185939374437494</v>
      </c>
      <c r="T196" s="18" t="str">
        <f t="shared" si="101"/>
        <v>1+0.000776128675274138i</v>
      </c>
      <c r="U196" s="18">
        <f t="shared" si="110"/>
        <v>1.0000003011878149</v>
      </c>
      <c r="V196" s="18">
        <f t="shared" si="111"/>
        <v>7.7612851943383769E-4</v>
      </c>
      <c r="W196" s="32" t="str">
        <f t="shared" si="102"/>
        <v>1-0.0367648132814801i</v>
      </c>
      <c r="X196" s="18">
        <f t="shared" si="112"/>
        <v>1.0006755975317985</v>
      </c>
      <c r="Y196" s="18">
        <f t="shared" si="113"/>
        <v>-3.6748262297152966E-2</v>
      </c>
      <c r="Z196" s="32" t="str">
        <f t="shared" si="103"/>
        <v>0.999988144390048+0.00392325036518592i</v>
      </c>
      <c r="AA196" s="18">
        <f t="shared" si="114"/>
        <v>0.99999584039838862</v>
      </c>
      <c r="AB196" s="18">
        <f t="shared" si="115"/>
        <v>3.923276748982899E-3</v>
      </c>
      <c r="AC196" s="69" t="str">
        <f t="shared" si="116"/>
        <v>6.45572153983406-29.9492425636575i</v>
      </c>
      <c r="AD196" s="67">
        <f t="shared" si="117"/>
        <v>29.724960366621843</v>
      </c>
      <c r="AE196" s="64">
        <f t="shared" si="118"/>
        <v>-77.835706152185935</v>
      </c>
      <c r="AF196" s="32" t="str">
        <f t="shared" si="104"/>
        <v>-0.0000198412698412698</v>
      </c>
      <c r="AG196" s="32" t="str">
        <f t="shared" si="105"/>
        <v>0.000130995376412123i</v>
      </c>
      <c r="AH196" s="32">
        <f t="shared" si="119"/>
        <v>1.30995376412123E-4</v>
      </c>
      <c r="AI196" s="32">
        <f t="shared" si="120"/>
        <v>1.5707963267948966</v>
      </c>
      <c r="AJ196" s="32" t="str">
        <f t="shared" si="106"/>
        <v>1+0.0454686881726651i</v>
      </c>
      <c r="AK196" s="32">
        <f t="shared" si="121"/>
        <v>1.0010331670849588</v>
      </c>
      <c r="AL196" s="32">
        <f t="shared" si="122"/>
        <v>4.5437392970397977E-2</v>
      </c>
      <c r="AM196" s="32" t="str">
        <f t="shared" si="107"/>
        <v>1+0.983260381733884i</v>
      </c>
      <c r="AN196" s="32">
        <f t="shared" si="123"/>
        <v>1.4024268174444836</v>
      </c>
      <c r="AO196" s="32">
        <f t="shared" si="124"/>
        <v>0.7769579097020286</v>
      </c>
      <c r="AP196" s="61" t="str">
        <f t="shared" si="125"/>
        <v>-0.141749959609976+0.157910605742179i</v>
      </c>
      <c r="AQ196" s="52">
        <f t="shared" si="126"/>
        <v>-13.465095258224659</v>
      </c>
      <c r="AR196" s="64">
        <f t="shared" si="127"/>
        <v>131.91303823595166</v>
      </c>
      <c r="AS196" s="61" t="str">
        <f t="shared" si="128"/>
        <v>3.81420476722188+5.26473082260585i</v>
      </c>
      <c r="AT196" s="67">
        <f t="shared" si="129"/>
        <v>16.259865108397186</v>
      </c>
      <c r="AU196" s="64">
        <f t="shared" si="130"/>
        <v>54.077332083765668</v>
      </c>
    </row>
    <row r="197" spans="14:47" x14ac:dyDescent="0.25">
      <c r="N197" s="11">
        <v>79</v>
      </c>
      <c r="O197" s="53">
        <f t="shared" si="131"/>
        <v>616.59500186148273</v>
      </c>
      <c r="P197" s="51" t="str">
        <f t="shared" si="99"/>
        <v>122.692307692308</v>
      </c>
      <c r="Q197" s="18" t="str">
        <f t="shared" si="100"/>
        <v>1+3.97103517258085i</v>
      </c>
      <c r="R197" s="18">
        <f t="shared" si="108"/>
        <v>4.0950116412379369</v>
      </c>
      <c r="S197" s="18">
        <f t="shared" si="109"/>
        <v>1.3241021603719887</v>
      </c>
      <c r="T197" s="18" t="str">
        <f t="shared" si="101"/>
        <v>1+0.000794207034516171i</v>
      </c>
      <c r="U197" s="18">
        <f t="shared" si="110"/>
        <v>1.0000003153823571</v>
      </c>
      <c r="V197" s="18">
        <f t="shared" si="111"/>
        <v>7.942068675302835E-4</v>
      </c>
      <c r="W197" s="32" t="str">
        <f t="shared" si="102"/>
        <v>1-0.037621175793449i</v>
      </c>
      <c r="X197" s="18">
        <f t="shared" si="112"/>
        <v>1.0007074262081208</v>
      </c>
      <c r="Y197" s="18">
        <f t="shared" si="113"/>
        <v>-3.7603441771267621E-2</v>
      </c>
      <c r="Z197" s="32" t="str">
        <f t="shared" si="103"/>
        <v>0.999987585652365+0.00401463460565767i</v>
      </c>
      <c r="AA197" s="18">
        <f t="shared" si="114"/>
        <v>0.99999564436544586</v>
      </c>
      <c r="AB197" s="18">
        <f t="shared" si="115"/>
        <v>4.014662876406558E-3</v>
      </c>
      <c r="AC197" s="69" t="str">
        <f t="shared" si="116"/>
        <v>6.12904596952888-29.3496099622158i</v>
      </c>
      <c r="AD197" s="67">
        <f t="shared" si="117"/>
        <v>29.537426913226064</v>
      </c>
      <c r="AE197" s="64">
        <f t="shared" si="118"/>
        <v>-78.204502479545155</v>
      </c>
      <c r="AF197" s="32" t="str">
        <f t="shared" si="104"/>
        <v>-0.0000198412698412698</v>
      </c>
      <c r="AG197" s="32" t="str">
        <f t="shared" si="105"/>
        <v>0.000134046650703705i</v>
      </c>
      <c r="AH197" s="32">
        <f t="shared" si="119"/>
        <v>1.34046650703705E-4</v>
      </c>
      <c r="AI197" s="32">
        <f t="shared" si="120"/>
        <v>1.5707963267948966</v>
      </c>
      <c r="AJ197" s="32" t="str">
        <f t="shared" si="106"/>
        <v>1+0.0465277899752871i</v>
      </c>
      <c r="AK197" s="32">
        <f t="shared" si="121"/>
        <v>1.0010818324392787</v>
      </c>
      <c r="AL197" s="32">
        <f t="shared" si="122"/>
        <v>4.6494258518778163E-2</v>
      </c>
      <c r="AM197" s="32" t="str">
        <f t="shared" si="107"/>
        <v>1+1.00616345821558i</v>
      </c>
      <c r="AN197" s="32">
        <f t="shared" si="123"/>
        <v>1.4185784802570267</v>
      </c>
      <c r="AO197" s="32">
        <f t="shared" si="124"/>
        <v>0.78847041496228909</v>
      </c>
      <c r="AP197" s="61" t="str">
        <f t="shared" si="125"/>
        <v>-0.141736178230446+0.154612318251046i</v>
      </c>
      <c r="AQ197" s="52">
        <f t="shared" si="126"/>
        <v>-13.566054323079946</v>
      </c>
      <c r="AR197" s="64">
        <f t="shared" si="127"/>
        <v>132.51210226355167</v>
      </c>
      <c r="AS197" s="61" t="str">
        <f t="shared" si="128"/>
        <v>3.66910368410244+5.10752755461478i</v>
      </c>
      <c r="AT197" s="67">
        <f t="shared" si="129"/>
        <v>15.971372590146116</v>
      </c>
      <c r="AU197" s="64">
        <f t="shared" si="130"/>
        <v>54.307599784006491</v>
      </c>
    </row>
    <row r="198" spans="14:47" x14ac:dyDescent="0.25">
      <c r="N198" s="11">
        <v>80</v>
      </c>
      <c r="O198" s="53">
        <f t="shared" si="131"/>
        <v>630.95734448019323</v>
      </c>
      <c r="P198" s="51" t="str">
        <f t="shared" si="99"/>
        <v>122.692307692308</v>
      </c>
      <c r="Q198" s="18" t="str">
        <f t="shared" si="100"/>
        <v>1+4.06353246420237i</v>
      </c>
      <c r="R198" s="18">
        <f t="shared" si="108"/>
        <v>4.1847695381737076</v>
      </c>
      <c r="S198" s="18">
        <f t="shared" si="109"/>
        <v>1.3294998068767132</v>
      </c>
      <c r="T198" s="18" t="str">
        <f t="shared" si="101"/>
        <v>1+0.000812706492840476i</v>
      </c>
      <c r="U198" s="18">
        <f t="shared" si="110"/>
        <v>1.0000003302458671</v>
      </c>
      <c r="V198" s="18">
        <f t="shared" si="111"/>
        <v>8.1270631391187702E-4</v>
      </c>
      <c r="W198" s="32" t="str">
        <f t="shared" si="102"/>
        <v>1-0.0384974855507987i</v>
      </c>
      <c r="X198" s="18">
        <f t="shared" si="112"/>
        <v>1.0007407538387421</v>
      </c>
      <c r="Y198" s="18">
        <f t="shared" si="113"/>
        <v>-3.8478483963259084E-2</v>
      </c>
      <c r="Z198" s="32" t="str">
        <f t="shared" si="103"/>
        <v>0.999987000582186+0.00410814745853729i</v>
      </c>
      <c r="AA198" s="18">
        <f t="shared" si="114"/>
        <v>0.9999954390940482</v>
      </c>
      <c r="AB198" s="18">
        <f t="shared" si="115"/>
        <v>4.1081777511917097E-3</v>
      </c>
      <c r="AC198" s="69" t="str">
        <f t="shared" si="116"/>
        <v>5.81535450902075-28.7585548767255i</v>
      </c>
      <c r="AD198" s="67">
        <f t="shared" si="117"/>
        <v>29.349389995863927</v>
      </c>
      <c r="AE198" s="64">
        <f t="shared" si="118"/>
        <v>-78.568199135512302</v>
      </c>
      <c r="AF198" s="32" t="str">
        <f t="shared" si="104"/>
        <v>-0.0000198412698412698</v>
      </c>
      <c r="AG198" s="32" t="str">
        <f t="shared" si="105"/>
        <v>0.000137168998303807i</v>
      </c>
      <c r="AH198" s="32">
        <f t="shared" si="119"/>
        <v>1.3716899830380701E-4</v>
      </c>
      <c r="AI198" s="32">
        <f t="shared" si="120"/>
        <v>1.5707963267948966</v>
      </c>
      <c r="AJ198" s="32" t="str">
        <f t="shared" si="106"/>
        <v>1+0.0476115614280219i</v>
      </c>
      <c r="AK198" s="32">
        <f t="shared" si="121"/>
        <v>1.0011327887855908</v>
      </c>
      <c r="AL198" s="32">
        <f t="shared" si="122"/>
        <v>4.7575634020384928E-2</v>
      </c>
      <c r="AM198" s="32" t="str">
        <f t="shared" si="107"/>
        <v>1+1.02960001588097i</v>
      </c>
      <c r="AN198" s="32">
        <f t="shared" si="123"/>
        <v>1.4352965521808005</v>
      </c>
      <c r="AO198" s="32">
        <f t="shared" si="124"/>
        <v>0.79998129174680754</v>
      </c>
      <c r="AP198" s="61" t="str">
        <f t="shared" si="125"/>
        <v>-0.14172175022637+0.151395947939032i</v>
      </c>
      <c r="AQ198" s="52">
        <f t="shared" si="126"/>
        <v>-13.664730949467049</v>
      </c>
      <c r="AR198" s="64">
        <f t="shared" si="127"/>
        <v>133.10966866948877</v>
      </c>
      <c r="AS198" s="61" t="str">
        <f t="shared" si="128"/>
        <v>3.5297664577133+4.95613383960537i</v>
      </c>
      <c r="AT198" s="67">
        <f t="shared" si="129"/>
        <v>15.684659046396884</v>
      </c>
      <c r="AU198" s="64">
        <f t="shared" si="130"/>
        <v>54.541469533976468</v>
      </c>
    </row>
    <row r="199" spans="14:47" x14ac:dyDescent="0.25">
      <c r="N199" s="11">
        <v>81</v>
      </c>
      <c r="O199" s="53">
        <f t="shared" si="131"/>
        <v>645.65422903465594</v>
      </c>
      <c r="P199" s="51" t="str">
        <f t="shared" si="99"/>
        <v>122.692307692308</v>
      </c>
      <c r="Q199" s="18" t="str">
        <f t="shared" si="100"/>
        <v>1+4.15818429452363i</v>
      </c>
      <c r="R199" s="18">
        <f t="shared" si="108"/>
        <v>4.2767390178993825</v>
      </c>
      <c r="S199" s="18">
        <f t="shared" si="109"/>
        <v>1.334788480256546</v>
      </c>
      <c r="T199" s="18" t="str">
        <f t="shared" si="101"/>
        <v>1+0.000831636858904727i</v>
      </c>
      <c r="U199" s="18">
        <f t="shared" si="110"/>
        <v>1.0000003458098727</v>
      </c>
      <c r="V199" s="18">
        <f t="shared" si="111"/>
        <v>8.316366671792826E-4</v>
      </c>
      <c r="W199" s="32" t="str">
        <f t="shared" si="102"/>
        <v>1-0.0393942071845619i</v>
      </c>
      <c r="X199" s="18">
        <f t="shared" si="112"/>
        <v>1.0007756509626422</v>
      </c>
      <c r="Y199" s="18">
        <f t="shared" si="113"/>
        <v>-3.9373847468870925E-2</v>
      </c>
      <c r="Z199" s="32" t="str">
        <f t="shared" si="103"/>
        <v>0.999986387938499+0.0042038385055772i</v>
      </c>
      <c r="AA199" s="18">
        <f t="shared" si="114"/>
        <v>0.99999522414882913</v>
      </c>
      <c r="AB199" s="18">
        <f t="shared" si="115"/>
        <v>4.2038709647425777E-3</v>
      </c>
      <c r="AC199" s="69" t="str">
        <f t="shared" si="116"/>
        <v>5.51420130821701-28.176177281226i</v>
      </c>
      <c r="AD199" s="67">
        <f t="shared" si="117"/>
        <v>29.160870818281339</v>
      </c>
      <c r="AE199" s="64">
        <f t="shared" si="118"/>
        <v>-78.926916537319087</v>
      </c>
      <c r="AF199" s="32" t="str">
        <f t="shared" si="104"/>
        <v>-0.0000198412698412698</v>
      </c>
      <c r="AG199" s="32" t="str">
        <f t="shared" si="105"/>
        <v>0.000140364074722456i</v>
      </c>
      <c r="AH199" s="32">
        <f t="shared" si="119"/>
        <v>1.4036407472245601E-4</v>
      </c>
      <c r="AI199" s="32">
        <f t="shared" si="120"/>
        <v>1.5707963267948966</v>
      </c>
      <c r="AJ199" s="32" t="str">
        <f t="shared" si="106"/>
        <v>1+0.0487205771608395i</v>
      </c>
      <c r="AK199" s="32">
        <f t="shared" si="121"/>
        <v>1.0011861438508252</v>
      </c>
      <c r="AL199" s="32">
        <f t="shared" si="122"/>
        <v>4.8682082712820353E-2</v>
      </c>
      <c r="AM199" s="32" t="str">
        <f t="shared" si="107"/>
        <v>1+1.05358248110315i</v>
      </c>
      <c r="AN199" s="32">
        <f t="shared" si="123"/>
        <v>1.4525963116046625</v>
      </c>
      <c r="AO199" s="32">
        <f t="shared" si="124"/>
        <v>0.81148444279432042</v>
      </c>
      <c r="AP199" s="61" t="str">
        <f t="shared" si="125"/>
        <v>-0.141706645399382+0.148259785149832i</v>
      </c>
      <c r="AQ199" s="52">
        <f t="shared" si="126"/>
        <v>-13.76112793954106</v>
      </c>
      <c r="AR199" s="64">
        <f t="shared" si="127"/>
        <v>133.70535583528863</v>
      </c>
      <c r="AS199" s="61" t="str">
        <f t="shared" si="128"/>
        <v>3.39599502061383+4.81028586392999i</v>
      </c>
      <c r="AT199" s="67">
        <f t="shared" si="129"/>
        <v>15.399742878740275</v>
      </c>
      <c r="AU199" s="64">
        <f t="shared" si="130"/>
        <v>54.778439297969513</v>
      </c>
    </row>
    <row r="200" spans="14:47" x14ac:dyDescent="0.25">
      <c r="N200" s="11">
        <v>82</v>
      </c>
      <c r="O200" s="53">
        <f t="shared" si="131"/>
        <v>660.69344800759643</v>
      </c>
      <c r="P200" s="51" t="str">
        <f t="shared" si="99"/>
        <v>122.692307692308</v>
      </c>
      <c r="Q200" s="18" t="str">
        <f t="shared" si="100"/>
        <v>1+4.25504084919793i</v>
      </c>
      <c r="R200" s="18">
        <f t="shared" si="108"/>
        <v>4.3709693007779231</v>
      </c>
      <c r="S200" s="18">
        <f t="shared" si="109"/>
        <v>1.3399698007255283</v>
      </c>
      <c r="T200" s="18" t="str">
        <f t="shared" si="101"/>
        <v>1+0.000851008169839587i</v>
      </c>
      <c r="U200" s="18">
        <f t="shared" si="110"/>
        <v>1.000000362107387</v>
      </c>
      <c r="V200" s="18">
        <f t="shared" si="111"/>
        <v>8.5100796440207597E-4</v>
      </c>
      <c r="W200" s="32" t="str">
        <f t="shared" si="102"/>
        <v>1-0.0403118161484183i</v>
      </c>
      <c r="X200" s="18">
        <f t="shared" si="112"/>
        <v>1.0008121914331298</v>
      </c>
      <c r="Y200" s="18">
        <f t="shared" si="113"/>
        <v>-4.0290001276079297E-2</v>
      </c>
      <c r="Z200" s="32" t="str">
        <f t="shared" si="103"/>
        <v>0.999985746421804+0.00430175848343715i</v>
      </c>
      <c r="AA200" s="18">
        <f t="shared" si="114"/>
        <v>0.99999499907390643</v>
      </c>
      <c r="AB200" s="18">
        <f t="shared" si="115"/>
        <v>4.3017932640610134E-3</v>
      </c>
      <c r="AC200" s="69" t="str">
        <f t="shared" si="116"/>
        <v>5.22514991559204-27.6025594039859i</v>
      </c>
      <c r="AD200" s="67">
        <f t="shared" si="117"/>
        <v>28.971889901191279</v>
      </c>
      <c r="AE200" s="64">
        <f t="shared" si="118"/>
        <v>-79.280776719931026</v>
      </c>
      <c r="AF200" s="32" t="str">
        <f t="shared" si="104"/>
        <v>-0.0000198412698412698</v>
      </c>
      <c r="AG200" s="32" t="str">
        <f t="shared" si="105"/>
        <v>0.000143633574031462i</v>
      </c>
      <c r="AH200" s="32">
        <f t="shared" si="119"/>
        <v>1.4363357403146201E-4</v>
      </c>
      <c r="AI200" s="32">
        <f t="shared" si="120"/>
        <v>1.5707963267948966</v>
      </c>
      <c r="AJ200" s="32" t="str">
        <f t="shared" si="106"/>
        <v>1+0.0498554251885608i</v>
      </c>
      <c r="AK200" s="32">
        <f t="shared" si="121"/>
        <v>1.00124201041543</v>
      </c>
      <c r="AL200" s="32">
        <f t="shared" si="122"/>
        <v>4.9814180407297369E-2</v>
      </c>
      <c r="AM200" s="32" t="str">
        <f t="shared" si="107"/>
        <v>1+1.07812356970263i</v>
      </c>
      <c r="AN200" s="32">
        <f t="shared" si="123"/>
        <v>1.470493261306675</v>
      </c>
      <c r="AO200" s="32">
        <f t="shared" si="124"/>
        <v>0.82297379128570558</v>
      </c>
      <c r="AP200" s="61" t="str">
        <f t="shared" si="125"/>
        <v>-0.141690832154405+0.145202162449514i</v>
      </c>
      <c r="AQ200" s="52">
        <f t="shared" si="126"/>
        <v>-13.85525057055472</v>
      </c>
      <c r="AR200" s="64">
        <f t="shared" si="127"/>
        <v>134.29878259330994</v>
      </c>
      <c r="AS200" s="61" t="str">
        <f t="shared" si="128"/>
        <v>3.26759547492817+4.66973267840902i</v>
      </c>
      <c r="AT200" s="67">
        <f t="shared" si="129"/>
        <v>15.116639330636563</v>
      </c>
      <c r="AU200" s="64">
        <f t="shared" si="130"/>
        <v>55.018005873378911</v>
      </c>
    </row>
    <row r="201" spans="14:47" x14ac:dyDescent="0.25">
      <c r="N201" s="11">
        <v>83</v>
      </c>
      <c r="O201" s="53">
        <f t="shared" si="131"/>
        <v>676.08297539198213</v>
      </c>
      <c r="P201" s="51" t="str">
        <f t="shared" si="99"/>
        <v>122.692307692308</v>
      </c>
      <c r="Q201" s="18" t="str">
        <f t="shared" si="100"/>
        <v>1+4.35415348285259i</v>
      </c>
      <c r="R201" s="18">
        <f t="shared" si="108"/>
        <v>4.4675107780773562</v>
      </c>
      <c r="S201" s="18">
        <f t="shared" si="109"/>
        <v>1.3450454022133198</v>
      </c>
      <c r="T201" s="18" t="str">
        <f t="shared" si="101"/>
        <v>1+0.000870830696570519i</v>
      </c>
      <c r="U201" s="18">
        <f t="shared" si="110"/>
        <v>1.0000003791729792</v>
      </c>
      <c r="V201" s="18">
        <f t="shared" si="111"/>
        <v>8.7083047644026437E-4</v>
      </c>
      <c r="W201" s="32" t="str">
        <f t="shared" si="102"/>
        <v>1-0.0412507989707866i</v>
      </c>
      <c r="X201" s="18">
        <f t="shared" si="112"/>
        <v>1.0008504525730746</v>
      </c>
      <c r="Y201" s="18">
        <f t="shared" si="113"/>
        <v>-4.1227424986551096E-2</v>
      </c>
      <c r="Z201" s="32" t="str">
        <f t="shared" si="103"/>
        <v>0.99998507467136+0.00440195931058552i</v>
      </c>
      <c r="AA201" s="18">
        <f t="shared" si="114"/>
        <v>0.99999476339191773</v>
      </c>
      <c r="AB201" s="18">
        <f t="shared" si="115"/>
        <v>4.4019965786971475E-3</v>
      </c>
      <c r="AC201" s="69" t="str">
        <f t="shared" si="116"/>
        <v>4.94777361598424-27.0377667611033i</v>
      </c>
      <c r="AD201" s="67">
        <f t="shared" si="117"/>
        <v>28.782467099061027</v>
      </c>
      <c r="AE201" s="64">
        <f t="shared" si="118"/>
        <v>-79.629903166640005</v>
      </c>
      <c r="AF201" s="32" t="str">
        <f t="shared" si="104"/>
        <v>-0.0000198412698412698</v>
      </c>
      <c r="AG201" s="32" t="str">
        <f t="shared" si="105"/>
        <v>0.000146979229762634i</v>
      </c>
      <c r="AH201" s="32">
        <f t="shared" si="119"/>
        <v>1.4697922976263401E-4</v>
      </c>
      <c r="AI201" s="32">
        <f t="shared" si="120"/>
        <v>1.5707963267948966</v>
      </c>
      <c r="AJ201" s="32" t="str">
        <f t="shared" si="106"/>
        <v>1+0.0510167072226317i</v>
      </c>
      <c r="AK201" s="32">
        <f t="shared" si="121"/>
        <v>1.0013005065492775</v>
      </c>
      <c r="AL201" s="32">
        <f t="shared" si="122"/>
        <v>5.0972515742824145E-2</v>
      </c>
      <c r="AM201" s="32" t="str">
        <f t="shared" si="107"/>
        <v>1+1.10323629368941i</v>
      </c>
      <c r="AN201" s="32">
        <f t="shared" si="123"/>
        <v>1.489003129517714</v>
      </c>
      <c r="AO201" s="32">
        <f t="shared" si="124"/>
        <v>0.83444329684122487</v>
      </c>
      <c r="AP201" s="61" t="str">
        <f t="shared" si="125"/>
        <v>-0.141674277436366+0.142221453720924i</v>
      </c>
      <c r="AQ201" s="52">
        <f t="shared" si="126"/>
        <v>-13.947106578690875</v>
      </c>
      <c r="AR201" s="64">
        <f t="shared" si="127"/>
        <v>134.88956912875645</v>
      </c>
      <c r="AS201" s="61" t="str">
        <f t="shared" si="128"/>
        <v>3.14437824216811+4.53423562571962i</v>
      </c>
      <c r="AT201" s="67">
        <f t="shared" si="129"/>
        <v>14.835360520370159</v>
      </c>
      <c r="AU201" s="64">
        <f t="shared" si="130"/>
        <v>55.259665962116451</v>
      </c>
    </row>
    <row r="202" spans="14:47" x14ac:dyDescent="0.25">
      <c r="N202" s="11">
        <v>84</v>
      </c>
      <c r="O202" s="53">
        <f t="shared" si="131"/>
        <v>691.83097091893671</v>
      </c>
      <c r="P202" s="51" t="str">
        <f t="shared" si="99"/>
        <v>122.692307692308</v>
      </c>
      <c r="Q202" s="18" t="str">
        <f t="shared" si="100"/>
        <v>1+4.45557474631789i</v>
      </c>
      <c r="R202" s="18">
        <f t="shared" si="108"/>
        <v>4.5664150402723722</v>
      </c>
      <c r="S202" s="18">
        <f t="shared" si="109"/>
        <v>1.3500169293546826</v>
      </c>
      <c r="T202" s="18" t="str">
        <f t="shared" si="101"/>
        <v>1+0.000891114949263579i</v>
      </c>
      <c r="U202" s="18">
        <f t="shared" si="110"/>
        <v>1.0000003970428477</v>
      </c>
      <c r="V202" s="18">
        <f t="shared" si="111"/>
        <v>8.9111471338976656E-4</v>
      </c>
      <c r="W202" s="32" t="str">
        <f t="shared" si="102"/>
        <v>1-0.0422116535127881i</v>
      </c>
      <c r="X202" s="18">
        <f t="shared" si="112"/>
        <v>1.0008905153373588</v>
      </c>
      <c r="Y202" s="18">
        <f t="shared" si="113"/>
        <v>-4.2186609040800974E-2</v>
      </c>
      <c r="Z202" s="32" t="str">
        <f t="shared" si="103"/>
        <v>0.999984371262292+0.00450449411482718i</v>
      </c>
      <c r="AA202" s="18">
        <f t="shared" si="114"/>
        <v>0.9999945166030022</v>
      </c>
      <c r="AB202" s="18">
        <f t="shared" si="115"/>
        <v>4.5045340483301811E-3</v>
      </c>
      <c r="AC202" s="69" t="str">
        <f t="shared" si="116"/>
        <v>4.68165570634073-26.4818491604466i</v>
      </c>
      <c r="AD202" s="67">
        <f t="shared" si="117"/>
        <v>28.592621617453982</v>
      </c>
      <c r="AE202" s="64">
        <f t="shared" si="118"/>
        <v>-79.974420650743738</v>
      </c>
      <c r="AF202" s="32" t="str">
        <f t="shared" si="104"/>
        <v>-0.0000198412698412698</v>
      </c>
      <c r="AG202" s="32" t="str">
        <f t="shared" si="105"/>
        <v>0.000150402815826926i</v>
      </c>
      <c r="AH202" s="32">
        <f t="shared" si="119"/>
        <v>1.5040281582692601E-4</v>
      </c>
      <c r="AI202" s="32">
        <f t="shared" si="120"/>
        <v>1.5707963267948966</v>
      </c>
      <c r="AJ202" s="32" t="str">
        <f t="shared" si="106"/>
        <v>1+0.0522050389901579i</v>
      </c>
      <c r="AK202" s="32">
        <f t="shared" si="121"/>
        <v>1.0013617558584729</v>
      </c>
      <c r="AL202" s="32">
        <f t="shared" si="122"/>
        <v>5.2157690443582455E-2</v>
      </c>
      <c r="AM202" s="32" t="str">
        <f t="shared" si="107"/>
        <v>1+1.12893396816217i</v>
      </c>
      <c r="AN202" s="32">
        <f t="shared" si="123"/>
        <v>1.5081418714664687</v>
      </c>
      <c r="AO202" s="32">
        <f t="shared" si="124"/>
        <v>0.84588697128366852</v>
      </c>
      <c r="AP202" s="61" t="str">
        <f t="shared" si="125"/>
        <v>-0.141656946664165+0.139316073278489i</v>
      </c>
      <c r="AQ202" s="52">
        <f t="shared" si="126"/>
        <v>-14.036706132890775</v>
      </c>
      <c r="AR202" s="64">
        <f t="shared" si="127"/>
        <v>135.47733786809101</v>
      </c>
      <c r="AS202" s="61" t="str">
        <f t="shared" si="128"/>
        <v>3.02615818549358+4.40356778353907i</v>
      </c>
      <c r="AT202" s="67">
        <f t="shared" si="129"/>
        <v>14.555915484563213</v>
      </c>
      <c r="AU202" s="64">
        <f t="shared" si="130"/>
        <v>55.50291721734726</v>
      </c>
    </row>
    <row r="203" spans="14:47" x14ac:dyDescent="0.25">
      <c r="N203" s="11">
        <v>85</v>
      </c>
      <c r="O203" s="53">
        <f t="shared" si="131"/>
        <v>707.94578438413873</v>
      </c>
      <c r="P203" s="51" t="str">
        <f t="shared" si="99"/>
        <v>122.692307692308</v>
      </c>
      <c r="Q203" s="18" t="str">
        <f t="shared" si="100"/>
        <v>1+4.5593584144902i</v>
      </c>
      <c r="R203" s="18">
        <f t="shared" si="108"/>
        <v>4.6677349059027105</v>
      </c>
      <c r="S203" s="18">
        <f t="shared" si="109"/>
        <v>1.3548860346625644</v>
      </c>
      <c r="T203" s="18" t="str">
        <f t="shared" si="101"/>
        <v>1+0.000911871682898042i</v>
      </c>
      <c r="U203" s="18">
        <f t="shared" si="110"/>
        <v>1.0000004157548965</v>
      </c>
      <c r="V203" s="18">
        <f t="shared" si="111"/>
        <v>9.1187143015470404E-4</v>
      </c>
      <c r="W203" s="32" t="str">
        <f t="shared" si="102"/>
        <v>1-0.0431948892322194i</v>
      </c>
      <c r="X203" s="18">
        <f t="shared" si="112"/>
        <v>1.0009324644828859</v>
      </c>
      <c r="Y203" s="18">
        <f t="shared" si="113"/>
        <v>-4.3168054947031499E-2</v>
      </c>
      <c r="Z203" s="32" t="str">
        <f t="shared" si="103"/>
        <v>0.999983634702575+0.00460941726147256i</v>
      </c>
      <c r="AA203" s="18">
        <f t="shared" si="114"/>
        <v>0.99999425818374743</v>
      </c>
      <c r="AB203" s="18">
        <f t="shared" si="115"/>
        <v>4.6094600509941127E-3</v>
      </c>
      <c r="AC203" s="69" t="str">
        <f t="shared" si="116"/>
        <v>4.42638971416781-25.9348416741512i</v>
      </c>
      <c r="AD203" s="67">
        <f t="shared" si="117"/>
        <v>28.402372030834812</v>
      </c>
      <c r="AE203" s="64">
        <f t="shared" si="118"/>
        <v>-80.314455087984143</v>
      </c>
      <c r="AF203" s="32" t="str">
        <f t="shared" si="104"/>
        <v>-0.0000198412698412698</v>
      </c>
      <c r="AG203" s="32" t="str">
        <f t="shared" si="105"/>
        <v>0.000153906147454986i</v>
      </c>
      <c r="AH203" s="32">
        <f t="shared" si="119"/>
        <v>1.5390614745498601E-4</v>
      </c>
      <c r="AI203" s="32">
        <f t="shared" si="120"/>
        <v>1.5707963267948966</v>
      </c>
      <c r="AJ203" s="32" t="str">
        <f t="shared" si="106"/>
        <v>1+0.0534210505603722i</v>
      </c>
      <c r="AK203" s="32">
        <f t="shared" si="121"/>
        <v>1.0014258877435582</v>
      </c>
      <c r="AL203" s="32">
        <f t="shared" si="122"/>
        <v>5.3370319579387392E-2</v>
      </c>
      <c r="AM203" s="32" t="str">
        <f t="shared" si="107"/>
        <v>1+1.15523021836805i</v>
      </c>
      <c r="AN203" s="32">
        <f t="shared" si="123"/>
        <v>1.5279256714351954</v>
      </c>
      <c r="AO203" s="32">
        <f t="shared" si="124"/>
        <v>0.85729889406775583</v>
      </c>
      <c r="AP203" s="61" t="str">
        <f t="shared" si="125"/>
        <v>-0.141638803661791+0.136484475002856i</v>
      </c>
      <c r="AQ203" s="52">
        <f t="shared" si="126"/>
        <v>-14.1240617989339</v>
      </c>
      <c r="AR203" s="64">
        <f t="shared" si="127"/>
        <v>136.06171434815232</v>
      </c>
      <c r="AS203" s="61" t="str">
        <f t="shared" si="128"/>
        <v>2.91275470652313+4.27751342418097i</v>
      </c>
      <c r="AT203" s="67">
        <f t="shared" si="129"/>
        <v>14.27831023190091</v>
      </c>
      <c r="AU203" s="64">
        <f t="shared" si="130"/>
        <v>55.747259260168164</v>
      </c>
    </row>
    <row r="204" spans="14:47" x14ac:dyDescent="0.25">
      <c r="N204" s="11">
        <v>86</v>
      </c>
      <c r="O204" s="53">
        <f t="shared" si="131"/>
        <v>724.43596007499025</v>
      </c>
      <c r="P204" s="51" t="str">
        <f t="shared" si="99"/>
        <v>122.692307692308</v>
      </c>
      <c r="Q204" s="18" t="str">
        <f t="shared" si="100"/>
        <v>1+4.66555951484411i</v>
      </c>
      <c r="R204" s="18">
        <f t="shared" si="108"/>
        <v>4.7715244510064503</v>
      </c>
      <c r="S204" s="18">
        <f t="shared" si="109"/>
        <v>1.3596543758788027</v>
      </c>
      <c r="T204" s="18" t="str">
        <f t="shared" si="101"/>
        <v>1+0.000933111902968823i</v>
      </c>
      <c r="U204" s="18">
        <f t="shared" si="110"/>
        <v>1.000000435348817</v>
      </c>
      <c r="V204" s="18">
        <f t="shared" si="111"/>
        <v>9.3311163214946345E-4</v>
      </c>
      <c r="W204" s="32" t="str">
        <f t="shared" si="102"/>
        <v>1-0.0442010274536734i</v>
      </c>
      <c r="X204" s="18">
        <f t="shared" si="112"/>
        <v>1.0009763887464882</v>
      </c>
      <c r="Y204" s="18">
        <f t="shared" si="113"/>
        <v>-4.4172275513631717E-2</v>
      </c>
      <c r="Z204" s="32" t="str">
        <f t="shared" si="103"/>
        <v>0.999982863429869+0.00471678438216281i</v>
      </c>
      <c r="AA204" s="18">
        <f t="shared" si="114"/>
        <v>0.99999398758607927</v>
      </c>
      <c r="AB204" s="18">
        <f t="shared" si="115"/>
        <v>4.7168302319636349E-3</v>
      </c>
      <c r="AC204" s="69" t="str">
        <f t="shared" si="116"/>
        <v>4.18157956326882-25.3967655782667i</v>
      </c>
      <c r="AD204" s="67">
        <f t="shared" si="117"/>
        <v>28.211736300751031</v>
      </c>
      <c r="AE204" s="64">
        <f t="shared" si="118"/>
        <v>-80.650133399404083</v>
      </c>
      <c r="AF204" s="32" t="str">
        <f t="shared" si="104"/>
        <v>-0.0000198412698412698</v>
      </c>
      <c r="AG204" s="32" t="str">
        <f t="shared" si="105"/>
        <v>0.000157491082159616i</v>
      </c>
      <c r="AH204" s="32">
        <f t="shared" si="119"/>
        <v>1.57491082159616E-4</v>
      </c>
      <c r="AI204" s="32">
        <f t="shared" si="120"/>
        <v>1.5707963267948966</v>
      </c>
      <c r="AJ204" s="32" t="str">
        <f t="shared" si="106"/>
        <v>1+0.0546653866787047i</v>
      </c>
      <c r="AK204" s="32">
        <f t="shared" si="121"/>
        <v>1.0014930376696247</v>
      </c>
      <c r="AL204" s="32">
        <f t="shared" si="122"/>
        <v>5.4611031829094728E-2</v>
      </c>
      <c r="AM204" s="32" t="str">
        <f t="shared" si="107"/>
        <v>1+1.18213898692699i</v>
      </c>
      <c r="AN204" s="32">
        <f t="shared" si="123"/>
        <v>1.5483709453528152</v>
      </c>
      <c r="AO204" s="32">
        <f t="shared" si="124"/>
        <v>0.86867322728028207</v>
      </c>
      <c r="AP204" s="61" t="str">
        <f t="shared" si="125"/>
        <v>-0.141619810586492+0.133725151494796i</v>
      </c>
      <c r="AQ204" s="52">
        <f t="shared" si="126"/>
        <v>-14.209188494110487</v>
      </c>
      <c r="AR204" s="64">
        <f t="shared" si="127"/>
        <v>136.642328060507</v>
      </c>
      <c r="AS204" s="61" t="str">
        <f t="shared" si="128"/>
        <v>2.80399181872906+4.15586749128934i</v>
      </c>
      <c r="AT204" s="67">
        <f t="shared" si="129"/>
        <v>14.00254780664055</v>
      </c>
      <c r="AU204" s="64">
        <f t="shared" si="130"/>
        <v>55.992194661102914</v>
      </c>
    </row>
    <row r="205" spans="14:47" x14ac:dyDescent="0.25">
      <c r="N205" s="11">
        <v>87</v>
      </c>
      <c r="O205" s="53">
        <f t="shared" si="131"/>
        <v>741.31024130091828</v>
      </c>
      <c r="P205" s="51" t="str">
        <f t="shared" si="99"/>
        <v>122.692307692308</v>
      </c>
      <c r="Q205" s="18" t="str">
        <f t="shared" si="100"/>
        <v>1+4.77423435660877i</v>
      </c>
      <c r="R205" s="18">
        <f t="shared" si="108"/>
        <v>4.8778390391466946</v>
      </c>
      <c r="S205" s="18">
        <f t="shared" si="109"/>
        <v>1.3643236134962524</v>
      </c>
      <c r="T205" s="18" t="str">
        <f t="shared" si="101"/>
        <v>1+0.000954846871321755i</v>
      </c>
      <c r="U205" s="18">
        <f t="shared" si="110"/>
        <v>1.0000004558661699</v>
      </c>
      <c r="V205" s="18">
        <f t="shared" si="111"/>
        <v>9.5484658113359011E-4</v>
      </c>
      <c r="W205" s="32" t="str">
        <f t="shared" si="102"/>
        <v>1-0.0452306016449532i</v>
      </c>
      <c r="X205" s="18">
        <f t="shared" si="112"/>
        <v>1.0010223810310959</v>
      </c>
      <c r="Y205" s="18">
        <f t="shared" si="113"/>
        <v>-4.5199795085303425E-2</v>
      </c>
      <c r="Z205" s="32" t="str">
        <f t="shared" si="103"/>
        <v>0.999982055808201+0.00482665240436651i</v>
      </c>
      <c r="AA205" s="18">
        <f t="shared" si="114"/>
        <v>0.99999370423609601</v>
      </c>
      <c r="AB205" s="18">
        <f t="shared" si="115"/>
        <v>4.826701533315947E-3</v>
      </c>
      <c r="AC205" s="69" t="str">
        <f t="shared" si="116"/>
        <v>3.94683969116653-24.8676292585035i</v>
      </c>
      <c r="AD205" s="67">
        <f t="shared" si="117"/>
        <v>28.020731794311928</v>
      </c>
      <c r="AE205" s="64">
        <f t="shared" si="118"/>
        <v>-80.981583384263971</v>
      </c>
      <c r="AF205" s="32" t="str">
        <f t="shared" si="104"/>
        <v>-0.0000198412698412698</v>
      </c>
      <c r="AG205" s="32" t="str">
        <f t="shared" si="105"/>
        <v>0.000161159520720647i</v>
      </c>
      <c r="AH205" s="32">
        <f t="shared" si="119"/>
        <v>1.6115952072064699E-4</v>
      </c>
      <c r="AI205" s="32">
        <f t="shared" si="120"/>
        <v>1.5707963267948966</v>
      </c>
      <c r="AJ205" s="32" t="str">
        <f t="shared" si="106"/>
        <v>1+0.0559387071086362i</v>
      </c>
      <c r="AK205" s="32">
        <f t="shared" si="121"/>
        <v>1.0015633474488699</v>
      </c>
      <c r="AL205" s="32">
        <f t="shared" si="122"/>
        <v>5.5880469746811018E-2</v>
      </c>
      <c r="AM205" s="32" t="str">
        <f t="shared" si="107"/>
        <v>1+1.20967454122426i</v>
      </c>
      <c r="AN205" s="32">
        <f t="shared" si="123"/>
        <v>1.5694943439484337</v>
      </c>
      <c r="AO205" s="32">
        <f t="shared" si="124"/>
        <v>0.88000423012034812</v>
      </c>
      <c r="AP205" s="61" t="str">
        <f t="shared" si="125"/>
        <v>-0.141599927853874+0.131036633247801i</v>
      </c>
      <c r="AQ205" s="52">
        <f t="shared" si="126"/>
        <v>-14.292103432909267</v>
      </c>
      <c r="AR205" s="64">
        <f t="shared" si="127"/>
        <v>137.21881326585441</v>
      </c>
      <c r="AS205" s="61" t="str">
        <f t="shared" si="128"/>
        <v>2.69969819936882+4.03843509400023i</v>
      </c>
      <c r="AT205" s="67">
        <f t="shared" si="129"/>
        <v>13.728628361402652</v>
      </c>
      <c r="AU205" s="64">
        <f t="shared" si="130"/>
        <v>56.237229881590423</v>
      </c>
    </row>
    <row r="206" spans="14:47" x14ac:dyDescent="0.25">
      <c r="N206" s="11">
        <v>88</v>
      </c>
      <c r="O206" s="53">
        <f t="shared" si="131"/>
        <v>758.57757502918378</v>
      </c>
      <c r="P206" s="51" t="str">
        <f t="shared" si="99"/>
        <v>122.692307692308</v>
      </c>
      <c r="Q206" s="18" t="str">
        <f t="shared" si="100"/>
        <v>1+4.88544056062377i</v>
      </c>
      <c r="R206" s="18">
        <f t="shared" si="108"/>
        <v>4.9867353520502657</v>
      </c>
      <c r="S206" s="18">
        <f t="shared" si="109"/>
        <v>1.3688954084459592</v>
      </c>
      <c r="T206" s="18" t="str">
        <f t="shared" si="101"/>
        <v>1+0.000977088112124756i</v>
      </c>
      <c r="U206" s="18">
        <f t="shared" si="110"/>
        <v>1.0000004773504754</v>
      </c>
      <c r="V206" s="18">
        <f t="shared" si="111"/>
        <v>9.7708780118254323E-4</v>
      </c>
      <c r="W206" s="32" t="str">
        <f t="shared" si="102"/>
        <v>1-0.046284157699923i</v>
      </c>
      <c r="X206" s="18">
        <f t="shared" si="112"/>
        <v>1.0010705386005481</v>
      </c>
      <c r="Y206" s="18">
        <f t="shared" si="113"/>
        <v>-4.6251149782771894E-2</v>
      </c>
      <c r="Z206" s="32" t="str">
        <f t="shared" si="103"/>
        <v>0.999981210124495+0.0049390795815633i</v>
      </c>
      <c r="AA206" s="18">
        <f t="shared" si="114"/>
        <v>0.99999340753285093</v>
      </c>
      <c r="AB206" s="18">
        <f t="shared" si="115"/>
        <v>4.9391322241841172E-3</v>
      </c>
      <c r="AC206" s="69" t="str">
        <f t="shared" si="116"/>
        <v>3.72179512241014-24.3474290813512i</v>
      </c>
      <c r="AD206" s="67">
        <f t="shared" si="117"/>
        <v>27.829375302895144</v>
      </c>
      <c r="AE206" s="64">
        <f t="shared" si="118"/>
        <v>-81.308933602652033</v>
      </c>
      <c r="AF206" s="32" t="str">
        <f t="shared" si="104"/>
        <v>-0.0000198412698412698</v>
      </c>
      <c r="AG206" s="32" t="str">
        <f t="shared" si="105"/>
        <v>0.000164913408192763i</v>
      </c>
      <c r="AH206" s="32">
        <f t="shared" si="119"/>
        <v>1.64913408192763E-4</v>
      </c>
      <c r="AI206" s="32">
        <f t="shared" si="120"/>
        <v>1.5707963267948966</v>
      </c>
      <c r="AJ206" s="32" t="str">
        <f t="shared" si="106"/>
        <v>1+0.057241686981513i</v>
      </c>
      <c r="AK206" s="32">
        <f t="shared" si="121"/>
        <v>1.0016369655361614</v>
      </c>
      <c r="AL206" s="32">
        <f t="shared" si="122"/>
        <v>5.7179290030737628E-2</v>
      </c>
      <c r="AM206" s="32" t="str">
        <f t="shared" si="107"/>
        <v>1+1.23785148097522i</v>
      </c>
      <c r="AN206" s="32">
        <f t="shared" si="123"/>
        <v>1.5913127564852061</v>
      </c>
      <c r="AO206" s="32">
        <f t="shared" si="124"/>
        <v>0.89128627277517947</v>
      </c>
      <c r="AP206" s="61" t="str">
        <f t="shared" si="125"/>
        <v>-0.141579114059803+0.128417487838809i</v>
      </c>
      <c r="AQ206" s="52">
        <f t="shared" si="126"/>
        <v>-14.372826064217017</v>
      </c>
      <c r="AR206" s="64">
        <f t="shared" si="127"/>
        <v>137.79080977364791</v>
      </c>
      <c r="AS206" s="61" t="str">
        <f t="shared" si="128"/>
        <v>2.59970722181776+3.92503101884223i</v>
      </c>
      <c r="AT206" s="67">
        <f t="shared" si="129"/>
        <v>13.45654923867813</v>
      </c>
      <c r="AU206" s="64">
        <f t="shared" si="130"/>
        <v>56.481876170995882</v>
      </c>
    </row>
    <row r="207" spans="14:47" x14ac:dyDescent="0.25">
      <c r="N207" s="11">
        <v>89</v>
      </c>
      <c r="O207" s="53">
        <f t="shared" si="131"/>
        <v>776.24711662869231</v>
      </c>
      <c r="P207" s="51" t="str">
        <f t="shared" si="99"/>
        <v>122.692307692308</v>
      </c>
      <c r="Q207" s="18" t="str">
        <f t="shared" si="100"/>
        <v>1+4.99923708989047i</v>
      </c>
      <c r="R207" s="18">
        <f t="shared" si="108"/>
        <v>5.0982714208775253</v>
      </c>
      <c r="S207" s="18">
        <f t="shared" si="109"/>
        <v>1.373371419942903</v>
      </c>
      <c r="T207" s="18" t="str">
        <f t="shared" si="101"/>
        <v>1+0.000999847417978095i</v>
      </c>
      <c r="U207" s="18">
        <f t="shared" si="110"/>
        <v>1.0000004998473047</v>
      </c>
      <c r="V207" s="18">
        <f t="shared" si="111"/>
        <v>9.9984708479752024E-4</v>
      </c>
      <c r="W207" s="32" t="str">
        <f t="shared" si="102"/>
        <v>1-0.0473622542279485i</v>
      </c>
      <c r="X207" s="18">
        <f t="shared" si="112"/>
        <v>1.001120963283435</v>
      </c>
      <c r="Y207" s="18">
        <f t="shared" si="113"/>
        <v>-4.7326887746032706E-2</v>
      </c>
      <c r="Z207" s="32" t="str">
        <f t="shared" si="103"/>
        <v>0.999980324584944+0.00505412552413069i</v>
      </c>
      <c r="AA207" s="18">
        <f t="shared" si="114"/>
        <v>0.99999309684708504</v>
      </c>
      <c r="AB207" s="18">
        <f t="shared" si="115"/>
        <v>5.0541819317185934E-3</v>
      </c>
      <c r="AC207" s="69" t="str">
        <f t="shared" si="116"/>
        <v>3.50608150175984-23.8361502301141i</v>
      </c>
      <c r="AD207" s="67">
        <f t="shared" si="117"/>
        <v>27.63768306101419</v>
      </c>
      <c r="AE207" s="64">
        <f t="shared" si="118"/>
        <v>-81.632313267415853</v>
      </c>
      <c r="AF207" s="32" t="str">
        <f t="shared" si="104"/>
        <v>-0.0000198412698412698</v>
      </c>
      <c r="AG207" s="32" t="str">
        <f t="shared" si="105"/>
        <v>0.00016875473493679i</v>
      </c>
      <c r="AH207" s="32">
        <f t="shared" si="119"/>
        <v>1.6875473493678999E-4</v>
      </c>
      <c r="AI207" s="32">
        <f t="shared" si="120"/>
        <v>1.5707963267948966</v>
      </c>
      <c r="AJ207" s="32" t="str">
        <f t="shared" si="106"/>
        <v>1+0.0585750171545108i</v>
      </c>
      <c r="AK207" s="32">
        <f t="shared" si="121"/>
        <v>1.0017140473381869</v>
      </c>
      <c r="AL207" s="32">
        <f t="shared" si="122"/>
        <v>5.8508163794464975E-2</v>
      </c>
      <c r="AM207" s="32" t="str">
        <f t="shared" si="107"/>
        <v>1+1.2666847459663i</v>
      </c>
      <c r="AN207" s="32">
        <f t="shared" si="123"/>
        <v>1.6138433150909384</v>
      </c>
      <c r="AO207" s="32">
        <f t="shared" si="124"/>
        <v>0.90251384961388581</v>
      </c>
      <c r="AP207" s="61" t="str">
        <f t="shared" si="125"/>
        <v>-0.141557325899028+0.125866319136515i</v>
      </c>
      <c r="AQ207" s="52">
        <f t="shared" si="126"/>
        <v>-14.451378000591342</v>
      </c>
      <c r="AR207" s="64">
        <f t="shared" si="127"/>
        <v>138.35796368249731</v>
      </c>
      <c r="AS207" s="61" t="str">
        <f t="shared" si="128"/>
        <v>2.50385697007629+3.81547925952159i</v>
      </c>
      <c r="AT207" s="67">
        <f t="shared" si="129"/>
        <v>13.186305060422853</v>
      </c>
      <c r="AU207" s="64">
        <f t="shared" si="130"/>
        <v>56.725650415081432</v>
      </c>
    </row>
    <row r="208" spans="14:47" x14ac:dyDescent="0.25">
      <c r="N208" s="11">
        <v>90</v>
      </c>
      <c r="O208" s="53">
        <f t="shared" si="131"/>
        <v>794.32823472428208</v>
      </c>
      <c r="P208" s="51" t="str">
        <f t="shared" si="99"/>
        <v>122.692307692308</v>
      </c>
      <c r="Q208" s="18" t="str">
        <f t="shared" si="100"/>
        <v>1+5.11568428083495i</v>
      </c>
      <c r="R208" s="18">
        <f t="shared" si="108"/>
        <v>5.2125066581426829</v>
      </c>
      <c r="S208" s="18">
        <f t="shared" si="109"/>
        <v>1.377753303483775</v>
      </c>
      <c r="T208" s="18" t="str">
        <f t="shared" si="101"/>
        <v>1+0.00102313685616699i</v>
      </c>
      <c r="U208" s="18">
        <f t="shared" si="110"/>
        <v>1.0000005234043763</v>
      </c>
      <c r="V208" s="18">
        <f t="shared" si="111"/>
        <v>1.023136499157582E-3</v>
      </c>
      <c r="W208" s="32" t="str">
        <f t="shared" si="102"/>
        <v>1-0.0484654628500793i</v>
      </c>
      <c r="X208" s="18">
        <f t="shared" si="112"/>
        <v>1.0011737616863881</v>
      </c>
      <c r="Y208" s="18">
        <f t="shared" si="113"/>
        <v>-4.8427569381073017E-2</v>
      </c>
      <c r="Z208" s="32" t="str">
        <f t="shared" si="103"/>
        <v>0.999979397311201+0.00517185123095023i</v>
      </c>
      <c r="AA208" s="18">
        <f t="shared" si="114"/>
        <v>0.99999277151988852</v>
      </c>
      <c r="AB208" s="18">
        <f t="shared" si="115"/>
        <v>5.1719116727734615E-3</v>
      </c>
      <c r="AC208" s="69" t="str">
        <f t="shared" si="116"/>
        <v>3.29934509103547-23.3337675056707i</v>
      </c>
      <c r="AD208" s="67">
        <f t="shared" si="117"/>
        <v>27.44567076529005</v>
      </c>
      <c r="AE208" s="64">
        <f t="shared" si="118"/>
        <v>-81.951852145036483</v>
      </c>
      <c r="AF208" s="32" t="str">
        <f t="shared" si="104"/>
        <v>-0.0000198412698412698</v>
      </c>
      <c r="AG208" s="32" t="str">
        <f t="shared" si="105"/>
        <v>0.000172685537675014i</v>
      </c>
      <c r="AH208" s="32">
        <f t="shared" si="119"/>
        <v>1.72685537675014E-4</v>
      </c>
      <c r="AI208" s="32">
        <f t="shared" si="120"/>
        <v>1.5707963267948966</v>
      </c>
      <c r="AJ208" s="32" t="str">
        <f t="shared" si="106"/>
        <v>1+0.0599394045769359i</v>
      </c>
      <c r="AK208" s="32">
        <f t="shared" si="121"/>
        <v>1.0017947555368003</v>
      </c>
      <c r="AL208" s="32">
        <f t="shared" si="122"/>
        <v>5.9867776840509083E-2</v>
      </c>
      <c r="AM208" s="32" t="str">
        <f t="shared" si="107"/>
        <v>1+1.29618962397624i</v>
      </c>
      <c r="AN208" s="32">
        <f t="shared" si="123"/>
        <v>1.6371033996982802</v>
      </c>
      <c r="AO208" s="32">
        <f t="shared" si="124"/>
        <v>0.91368159162916041</v>
      </c>
      <c r="AP208" s="61" t="str">
        <f t="shared" si="125"/>
        <v>-0.141534518080364+0.123381766526673i</v>
      </c>
      <c r="AQ208" s="52">
        <f t="shared" si="126"/>
        <v>-14.527782940231049</v>
      </c>
      <c r="AR208" s="64">
        <f t="shared" si="127"/>
        <v>138.91992807735417</v>
      </c>
      <c r="AS208" s="61" t="str">
        <f t="shared" si="128"/>
        <v>2.41199023713181+3.70961256462742i</v>
      </c>
      <c r="AT208" s="67">
        <f t="shared" si="129"/>
        <v>12.917887825058996</v>
      </c>
      <c r="AU208" s="64">
        <f t="shared" si="130"/>
        <v>56.968075932317682</v>
      </c>
    </row>
    <row r="209" spans="14:47" x14ac:dyDescent="0.25">
      <c r="N209" s="11">
        <v>91</v>
      </c>
      <c r="O209" s="53">
        <f t="shared" si="131"/>
        <v>812.83051616409978</v>
      </c>
      <c r="P209" s="51" t="str">
        <f t="shared" si="99"/>
        <v>122.692307692308</v>
      </c>
      <c r="Q209" s="18" t="str">
        <f t="shared" si="100"/>
        <v>1+5.23484387529921i</v>
      </c>
      <c r="R209" s="18">
        <f t="shared" si="108"/>
        <v>5.3295018903043507</v>
      </c>
      <c r="S209" s="18">
        <f t="shared" si="109"/>
        <v>1.3820427089902325</v>
      </c>
      <c r="T209" s="18" t="str">
        <f t="shared" si="101"/>
        <v>1+0.00104696877505984i</v>
      </c>
      <c r="U209" s="18">
        <f t="shared" si="110"/>
        <v>1.0000005480716578</v>
      </c>
      <c r="V209" s="18">
        <f t="shared" si="111"/>
        <v>1.0469683925173785E-3</v>
      </c>
      <c r="W209" s="32" t="str">
        <f t="shared" si="102"/>
        <v>1-0.0495943685021293i</v>
      </c>
      <c r="X209" s="18">
        <f t="shared" si="112"/>
        <v>1.0012290454172437</v>
      </c>
      <c r="Y209" s="18">
        <f t="shared" si="113"/>
        <v>-4.9553767609993769E-2</v>
      </c>
      <c r="Z209" s="32" t="str">
        <f t="shared" si="103"/>
        <v>0.999978426336392+0.00529231912174996i</v>
      </c>
      <c r="AA209" s="18">
        <f t="shared" si="114"/>
        <v>0.99999243086130085</v>
      </c>
      <c r="AB209" s="18">
        <f t="shared" si="115"/>
        <v>5.2923838863346995E-3</v>
      </c>
      <c r="AC209" s="69" t="str">
        <f t="shared" si="116"/>
        <v>3.10124273320258-22.8402460919809i</v>
      </c>
      <c r="AD209" s="67">
        <f t="shared" si="117"/>
        <v>27.253353593474309</v>
      </c>
      <c r="AE209" s="64">
        <f t="shared" si="118"/>
        <v>-82.267680465067272</v>
      </c>
      <c r="AF209" s="32" t="str">
        <f t="shared" si="104"/>
        <v>-0.0000198412698412698</v>
      </c>
      <c r="AG209" s="32" t="str">
        <f t="shared" si="105"/>
        <v>0.000176707900571076i</v>
      </c>
      <c r="AH209" s="32">
        <f t="shared" si="119"/>
        <v>1.7670790057107601E-4</v>
      </c>
      <c r="AI209" s="32">
        <f t="shared" si="120"/>
        <v>1.5707963267948966</v>
      </c>
      <c r="AJ209" s="32" t="str">
        <f t="shared" si="106"/>
        <v>1+0.0613355726650594i</v>
      </c>
      <c r="AK209" s="32">
        <f t="shared" si="121"/>
        <v>1.0018792604271989</v>
      </c>
      <c r="AL209" s="32">
        <f t="shared" si="122"/>
        <v>6.1258829935862437E-2</v>
      </c>
      <c r="AM209" s="32" t="str">
        <f t="shared" si="107"/>
        <v>1+1.32638175888191i</v>
      </c>
      <c r="AN209" s="32">
        <f t="shared" si="123"/>
        <v>1.6611106436040524</v>
      </c>
      <c r="AO209" s="32">
        <f t="shared" si="124"/>
        <v>0.92478427806527552</v>
      </c>
      <c r="AP209" s="61" t="str">
        <f t="shared" si="125"/>
        <v>-0.141510643238347+0.120962504153857i</v>
      </c>
      <c r="AQ209" s="52">
        <f t="shared" si="126"/>
        <v>-14.602066582314343</v>
      </c>
      <c r="AR209" s="64">
        <f t="shared" si="127"/>
        <v>139.47636367995835</v>
      </c>
      <c r="AS209" s="61" t="str">
        <f t="shared" si="128"/>
        <v>2.32395450876261+3.60727200319549i</v>
      </c>
      <c r="AT209" s="67">
        <f t="shared" si="129"/>
        <v>12.65128701115996</v>
      </c>
      <c r="AU209" s="64">
        <f t="shared" si="130"/>
        <v>57.208683214891067</v>
      </c>
    </row>
    <row r="210" spans="14:47" x14ac:dyDescent="0.25">
      <c r="N210" s="11">
        <v>92</v>
      </c>
      <c r="O210" s="53">
        <f t="shared" si="131"/>
        <v>831.7637711026714</v>
      </c>
      <c r="P210" s="51" t="str">
        <f t="shared" si="99"/>
        <v>122.692307692308</v>
      </c>
      <c r="Q210" s="18" t="str">
        <f t="shared" si="100"/>
        <v>1+5.3567790532775i</v>
      </c>
      <c r="R210" s="18">
        <f t="shared" si="108"/>
        <v>5.4493193910462425</v>
      </c>
      <c r="S210" s="18">
        <f t="shared" si="109"/>
        <v>1.3862412790911005</v>
      </c>
      <c r="T210" s="18" t="str">
        <f t="shared" si="101"/>
        <v>1+0.0010713558106555i</v>
      </c>
      <c r="U210" s="18">
        <f t="shared" si="110"/>
        <v>1.0000005739014719</v>
      </c>
      <c r="V210" s="18">
        <f t="shared" si="111"/>
        <v>1.0713554007538801E-3</v>
      </c>
      <c r="W210" s="32" t="str">
        <f t="shared" si="102"/>
        <v>1-0.0507495697448183i</v>
      </c>
      <c r="X210" s="18">
        <f t="shared" si="112"/>
        <v>1.0012869313185329</v>
      </c>
      <c r="Y210" s="18">
        <f t="shared" si="113"/>
        <v>-5.0706068124450852E-2</v>
      </c>
      <c r="Z210" s="32" t="str">
        <f t="shared" si="103"/>
        <v>0.99997740960095+0.00541559307020017i</v>
      </c>
      <c r="AA210" s="18">
        <f t="shared" si="114"/>
        <v>0.99999207414885449</v>
      </c>
      <c r="AB210" s="18">
        <f t="shared" si="115"/>
        <v>5.4156624667078424E-3</v>
      </c>
      <c r="AC210" s="69" t="str">
        <f t="shared" si="116"/>
        <v>2.91144178705891-22.3555422865589i</v>
      </c>
      <c r="AD210" s="67">
        <f t="shared" si="117"/>
        <v>27.060746223476659</v>
      </c>
      <c r="AE210" s="64">
        <f t="shared" si="118"/>
        <v>-82.579928837758786</v>
      </c>
      <c r="AF210" s="32" t="str">
        <f t="shared" si="104"/>
        <v>-0.0000198412698412698</v>
      </c>
      <c r="AG210" s="32" t="str">
        <f t="shared" si="105"/>
        <v>0.000180823956335026i</v>
      </c>
      <c r="AH210" s="32">
        <f t="shared" si="119"/>
        <v>1.8082395633502599E-4</v>
      </c>
      <c r="AI210" s="32">
        <f t="shared" si="120"/>
        <v>1.5707963267948966</v>
      </c>
      <c r="AJ210" s="32" t="str">
        <f t="shared" si="106"/>
        <v>1+0.0627642616856822i</v>
      </c>
      <c r="AK210" s="32">
        <f t="shared" si="121"/>
        <v>1.0019677402715861</v>
      </c>
      <c r="AL210" s="32">
        <f t="shared" si="122"/>
        <v>6.2682039089304878E-2</v>
      </c>
      <c r="AM210" s="32" t="str">
        <f t="shared" si="107"/>
        <v>1+1.35727715895288i</v>
      </c>
      <c r="AN210" s="32">
        <f t="shared" si="123"/>
        <v>1.6858829396536408</v>
      </c>
      <c r="AO210" s="32">
        <f t="shared" si="124"/>
        <v>0.93581684717938773</v>
      </c>
      <c r="AP210" s="61" t="str">
        <f t="shared" si="125"/>
        <v>-0.141485651841206+0.118607240179096i</v>
      </c>
      <c r="AQ210" s="52">
        <f t="shared" si="126"/>
        <v>-14.674256536419731</v>
      </c>
      <c r="AR210" s="64">
        <f t="shared" si="127"/>
        <v>140.02693944952671</v>
      </c>
      <c r="AS210" s="61" t="str">
        <f t="shared" si="128"/>
        <v>2.23960193427607+3.50830654798258i</v>
      </c>
      <c r="AT210" s="67">
        <f t="shared" si="129"/>
        <v>12.386489687056915</v>
      </c>
      <c r="AU210" s="64">
        <f t="shared" si="130"/>
        <v>57.447010611767936</v>
      </c>
    </row>
    <row r="211" spans="14:47" x14ac:dyDescent="0.25">
      <c r="N211" s="11">
        <v>93</v>
      </c>
      <c r="O211" s="53">
        <f t="shared" si="131"/>
        <v>851.13803820237763</v>
      </c>
      <c r="P211" s="51" t="str">
        <f t="shared" ref="P211:P274" si="132">COMPLEX(Adc,0)</f>
        <v>122.692307692308</v>
      </c>
      <c r="Q211" s="18" t="str">
        <f t="shared" ref="Q211:Q274" si="133">IMSUM(COMPLEX(1,0),IMDIV(COMPLEX(0,2*PI()*O211),COMPLEX(wp_lf,0)))</f>
        <v>1+5.48155446641521i</v>
      </c>
      <c r="R211" s="18">
        <f t="shared" si="108"/>
        <v>5.5720229152684331</v>
      </c>
      <c r="S211" s="18">
        <f t="shared" si="109"/>
        <v>1.3903506475370473</v>
      </c>
      <c r="T211" s="18" t="str">
        <f t="shared" ref="T211:T274" si="134">IMSUM(COMPLEX(1,0),IMDIV(COMPLEX(0,2*PI()*O211),COMPLEX(wz_esr,0)))</f>
        <v>1+0.00109631089328304i</v>
      </c>
      <c r="U211" s="18">
        <f t="shared" si="110"/>
        <v>1.0000006009486069</v>
      </c>
      <c r="V211" s="18">
        <f t="shared" si="111"/>
        <v>1.0963104540655556E-3</v>
      </c>
      <c r="W211" s="32" t="str">
        <f t="shared" ref="W211:W274" si="135">IMSUB(COMPLEX(1,0),IMDIV(COMPLEX(0,2*PI()*O211),COMPLEX(wz_rhp,0)))</f>
        <v>1-0.051931679081136i</v>
      </c>
      <c r="X211" s="18">
        <f t="shared" si="112"/>
        <v>1.0013475417117605</v>
      </c>
      <c r="Y211" s="18">
        <f t="shared" si="113"/>
        <v>-5.1885069642314305E-2</v>
      </c>
      <c r="Z211" s="32" t="str">
        <f t="shared" ref="Z211:Z274" si="136">IMSUM(COMPLEX(1,0),IMDIV(COMPLEX(0,2*PI()*O211),COMPLEX(Q*(wsl/2),0)),IMDIV(IMPOWER(COMPLEX(0,2*PI()*O211),2),IMPOWER(COMPLEX(wsl/2,0),2)))</f>
        <v>0.999976344948243+0.00554173843778005i</v>
      </c>
      <c r="AA211" s="18">
        <f t="shared" si="114"/>
        <v>0.99999170062604015</v>
      </c>
      <c r="AB211" s="18">
        <f t="shared" si="115"/>
        <v>5.5418127974831543E-3</v>
      </c>
      <c r="AC211" s="69" t="str">
        <f t="shared" si="116"/>
        <v>2.72962003567588-21.8796041963037i</v>
      </c>
      <c r="AD211" s="67">
        <f t="shared" si="117"/>
        <v>26.867862852357103</v>
      </c>
      <c r="AE211" s="64">
        <f t="shared" si="118"/>
        <v>-82.888728179494194</v>
      </c>
      <c r="AF211" s="32" t="str">
        <f t="shared" ref="AF211:AF274" si="137">COMPLEX(Adc_ea,0)</f>
        <v>-0.0000198412698412698</v>
      </c>
      <c r="AG211" s="32" t="str">
        <f t="shared" ref="AG211:AG274" si="138">COMPLEX(0,2*PI()*O211*wp0_ea)</f>
        <v>0.000185035887354113i</v>
      </c>
      <c r="AH211" s="32">
        <f t="shared" si="119"/>
        <v>1.8503588735411299E-4</v>
      </c>
      <c r="AI211" s="32">
        <f t="shared" si="120"/>
        <v>1.5707963267948966</v>
      </c>
      <c r="AJ211" s="32" t="str">
        <f t="shared" ref="AJ211:AJ274" si="139">IMSUM(COMPLEX(1,0),IMDIV(COMPLEX(0,2*PI()*O211),COMPLEX(wp1_ea,0)))</f>
        <v>1+0.0642262291486342i</v>
      </c>
      <c r="AK211" s="32">
        <f t="shared" si="121"/>
        <v>1.0020603816690155</v>
      </c>
      <c r="AL211" s="32">
        <f t="shared" si="122"/>
        <v>6.4138135830195106E-2</v>
      </c>
      <c r="AM211" s="32" t="str">
        <f t="shared" ref="AM211:AM274" si="140">IMSUM(COMPLEX(1,0),IMDIV(COMPLEX(0,2*PI()*O211),COMPLEX(wz_ea,0)))</f>
        <v>1+1.38889220533921i</v>
      </c>
      <c r="AN211" s="32">
        <f t="shared" si="123"/>
        <v>1.7114384470532424</v>
      </c>
      <c r="AO211" s="32">
        <f t="shared" si="124"/>
        <v>0.94677440609233821</v>
      </c>
      <c r="AP211" s="61" t="str">
        <f t="shared" si="125"/>
        <v>-0.141459492095056+0.116314716052835i</v>
      </c>
      <c r="AQ211" s="52">
        <f t="shared" si="126"/>
        <v>-14.744382226772739</v>
      </c>
      <c r="AR211" s="64">
        <f t="shared" si="127"/>
        <v>140.57133313118908</v>
      </c>
      <c r="AS211" s="61" t="str">
        <f t="shared" si="128"/>
        <v>2.15878928558228+3.41257267623175i</v>
      </c>
      <c r="AT211" s="67">
        <f t="shared" si="129"/>
        <v>12.123480625584367</v>
      </c>
      <c r="AU211" s="64">
        <f t="shared" si="130"/>
        <v>57.682604951694977</v>
      </c>
    </row>
    <row r="212" spans="14:47" x14ac:dyDescent="0.25">
      <c r="N212" s="11">
        <v>94</v>
      </c>
      <c r="O212" s="53">
        <f t="shared" si="131"/>
        <v>870.96358995608091</v>
      </c>
      <c r="P212" s="51" t="str">
        <f t="shared" si="132"/>
        <v>122.692307692308</v>
      </c>
      <c r="Q212" s="18" t="str">
        <f t="shared" si="133"/>
        <v>1+5.60923627228794i</v>
      </c>
      <c r="R212" s="18">
        <f t="shared" ref="R212:R275" si="141">IMABS(Q212)</f>
        <v>5.6976777338096882</v>
      </c>
      <c r="S212" s="18">
        <f t="shared" ref="S212:S275" si="142">IMARGUMENT(Q212)</f>
        <v>1.3943724377413422</v>
      </c>
      <c r="T212" s="18" t="str">
        <f t="shared" si="134"/>
        <v>1+0.00112184725445759i</v>
      </c>
      <c r="U212" s="18">
        <f t="shared" ref="U212:U275" si="143">IMABS(T212)</f>
        <v>1.0000006292704331</v>
      </c>
      <c r="V212" s="18">
        <f t="shared" ref="V212:V275" si="144">IMARGUMENT(T212)</f>
        <v>1.1218467838275922E-3</v>
      </c>
      <c r="W212" s="32" t="str">
        <f t="shared" si="135"/>
        <v>1-0.0531413232810994i</v>
      </c>
      <c r="X212" s="18">
        <f t="shared" ref="X212:X275" si="145">IMABS(W212)</f>
        <v>1.0014110046529678</v>
      </c>
      <c r="Y212" s="18">
        <f t="shared" ref="Y212:Y275" si="146">IMARGUMENT(W212)</f>
        <v>-5.3091384167436223E-2</v>
      </c>
      <c r="Z212" s="32" t="str">
        <f t="shared" si="136"/>
        <v>0.999975230119999+0.00567082210843321i</v>
      </c>
      <c r="AA212" s="18">
        <f t="shared" ref="AA212:AA275" si="147">IMABS(Z212)</f>
        <v>0.99999130950070292</v>
      </c>
      <c r="AB212" s="18">
        <f t="shared" ref="AB212:AB275" si="148">IMARGUMENT(Z212)</f>
        <v>5.6709017862966995E-3</v>
      </c>
      <c r="AC212" s="69" t="str">
        <f t="shared" ref="AC212:AC275" si="149">(IMDIV(IMPRODUCT(P212,T212,W212),IMPRODUCT(Q212,Z212)))</f>
        <v>2.55546557154341-21.4123723992158i</v>
      </c>
      <c r="AD212" s="67">
        <f t="shared" ref="AD212:AD275" si="150">20*LOG(IMABS(AC212))</f>
        <v>26.674717215244812</v>
      </c>
      <c r="AE212" s="64">
        <f t="shared" ref="AE212:AE275" si="151">(180/PI())*IMARGUMENT(AC212)</f>
        <v>-83.194209645663193</v>
      </c>
      <c r="AF212" s="32" t="str">
        <f t="shared" si="137"/>
        <v>-0.0000198412698412698</v>
      </c>
      <c r="AG212" s="32" t="str">
        <f t="shared" si="138"/>
        <v>0.000189345926849915i</v>
      </c>
      <c r="AH212" s="32">
        <f t="shared" ref="AH212:AH275" si="152">IMABS(AG212)</f>
        <v>1.8934592684991501E-4</v>
      </c>
      <c r="AI212" s="32">
        <f t="shared" ref="AI212:AI275" si="153">IMARGUMENT(AG212)</f>
        <v>1.5707963267948966</v>
      </c>
      <c r="AJ212" s="32" t="str">
        <f t="shared" si="139"/>
        <v>1+0.0657222502084151i</v>
      </c>
      <c r="AK212" s="32">
        <f t="shared" ref="AK212:AK275" si="154">IMABS(AJ212)</f>
        <v>1.0021573799421215</v>
      </c>
      <c r="AL212" s="32">
        <f t="shared" ref="AL212:AL275" si="155">IMARGUMENT(AJ212)</f>
        <v>6.5627867488434424E-2</v>
      </c>
      <c r="AM212" s="32" t="str">
        <f t="shared" si="140"/>
        <v>1+1.42124366075698i</v>
      </c>
      <c r="AN212" s="32">
        <f t="shared" ref="AN212:AN275" si="156">IMABS(AM212)</f>
        <v>1.737795598809567</v>
      </c>
      <c r="AO212" s="32">
        <f t="shared" ref="AO212:AO275" si="157">IMARGUMENT(AM212)</f>
        <v>0.9576522396943804</v>
      </c>
      <c r="AP212" s="61" t="str">
        <f t="shared" ref="AP212:AP275" si="158">IMPRODUCT(AF212,IMDIV(AM212,IMPRODUCT(AG212,AJ212)))</f>
        <v>-0.14143210984416+0.114083705802641i</v>
      </c>
      <c r="AQ212" s="52">
        <f t="shared" ref="AQ212:AQ275" si="159">20*LOG(IMABS(AP212))</f>
        <v>-14.812474792086221</v>
      </c>
      <c r="AR212" s="64">
        <f t="shared" ref="AR212:AR275" si="160">(180/PI())*IMARGUMENT(AP212)</f>
        <v>141.10923175020758</v>
      </c>
      <c r="AS212" s="61" t="str">
        <f t="shared" ref="AS212:AS275" si="161">IMPRODUCT(AC212,AP212)</f>
        <v>2.08137790591123+3.31993398764269i</v>
      </c>
      <c r="AT212" s="67">
        <f t="shared" ref="AT212:AT275" si="162">20*LOG(IMABS(AS212))</f>
        <v>11.862242423158598</v>
      </c>
      <c r="AU212" s="64">
        <f t="shared" ref="AU212:AU275" si="163">(180/PI())*IMARGUMENT(AS212)</f>
        <v>57.91502210454442</v>
      </c>
    </row>
    <row r="213" spans="14:47" x14ac:dyDescent="0.25">
      <c r="N213" s="11">
        <v>95</v>
      </c>
      <c r="O213" s="53">
        <f t="shared" si="131"/>
        <v>891.25093813374656</v>
      </c>
      <c r="P213" s="51" t="str">
        <f t="shared" si="132"/>
        <v>122.692307692308</v>
      </c>
      <c r="Q213" s="18" t="str">
        <f t="shared" si="133"/>
        <v>1+5.73989216947928i</v>
      </c>
      <c r="R213" s="18">
        <f t="shared" si="141"/>
        <v>5.8263506689221476</v>
      </c>
      <c r="S213" s="18">
        <f t="shared" si="142"/>
        <v>1.3983082614404296</v>
      </c>
      <c r="T213" s="18" t="str">
        <f t="shared" si="134"/>
        <v>1+0.00114797843389586i</v>
      </c>
      <c r="U213" s="18">
        <f t="shared" si="143"/>
        <v>1.0000006589270252</v>
      </c>
      <c r="V213" s="18">
        <f t="shared" si="144"/>
        <v>1.1479779296067495E-3</v>
      </c>
      <c r="W213" s="32" t="str">
        <f t="shared" si="135"/>
        <v>1-0.0543791437140752i</v>
      </c>
      <c r="X213" s="18">
        <f t="shared" si="145"/>
        <v>1.0014774542000815</v>
      </c>
      <c r="Y213" s="18">
        <f t="shared" si="146"/>
        <v>-5.4325637252399611E-2</v>
      </c>
      <c r="Z213" s="32" t="str">
        <f t="shared" si="136"/>
        <v>0.999974062751519+0.00580291252403048i</v>
      </c>
      <c r="AA213" s="18">
        <f t="shared" si="147"/>
        <v>0.99999089994336465</v>
      </c>
      <c r="AB213" s="18">
        <f t="shared" si="148"/>
        <v>5.8029979004062295E-3</v>
      </c>
      <c r="AC213" s="69" t="str">
        <f t="shared" si="149"/>
        <v>2.38867666116696-20.9537805726632i</v>
      </c>
      <c r="AD213" s="67">
        <f t="shared" si="150"/>
        <v>26.481322604154496</v>
      </c>
      <c r="AE213" s="64">
        <f t="shared" si="151"/>
        <v>-83.496504570609432</v>
      </c>
      <c r="AF213" s="32" t="str">
        <f t="shared" si="137"/>
        <v>-0.0000198412698412698</v>
      </c>
      <c r="AG213" s="32" t="str">
        <f t="shared" si="138"/>
        <v>0.000193756360062423i</v>
      </c>
      <c r="AH213" s="32">
        <f t="shared" si="152"/>
        <v>1.93756360062423E-4</v>
      </c>
      <c r="AI213" s="32">
        <f t="shared" si="153"/>
        <v>1.5707963267948966</v>
      </c>
      <c r="AJ213" s="32" t="str">
        <f t="shared" si="139"/>
        <v>1+0.0672531180751936i</v>
      </c>
      <c r="AK213" s="32">
        <f t="shared" si="154"/>
        <v>1.0022589395414918</v>
      </c>
      <c r="AL213" s="32">
        <f t="shared" si="155"/>
        <v>6.715199747526944E-2</v>
      </c>
      <c r="AM213" s="32" t="str">
        <f t="shared" si="140"/>
        <v>1+1.45434867837606i</v>
      </c>
      <c r="AN213" s="32">
        <f t="shared" si="156"/>
        <v>1.7649731097935153</v>
      </c>
      <c r="AO213" s="32">
        <f t="shared" si="157"/>
        <v>0.96844581858053591</v>
      </c>
      <c r="AP213" s="61" t="str">
        <f t="shared" si="158"/>
        <v>-0.141403448467142+0.111913015335087i</v>
      </c>
      <c r="AQ213" s="52">
        <f t="shared" si="159"/>
        <v>-14.878566981772646</v>
      </c>
      <c r="AR213" s="64">
        <f t="shared" si="160"/>
        <v>141.64033205055091</v>
      </c>
      <c r="AS213" s="61" t="str">
        <f t="shared" si="161"/>
        <v>2.00723364939452+3.23026083921012i</v>
      </c>
      <c r="AT213" s="67">
        <f t="shared" si="162"/>
        <v>11.602755622381839</v>
      </c>
      <c r="AU213" s="64">
        <f t="shared" si="163"/>
        <v>58.143827479941415</v>
      </c>
    </row>
    <row r="214" spans="14:47" x14ac:dyDescent="0.25">
      <c r="N214" s="11">
        <v>96</v>
      </c>
      <c r="O214" s="53">
        <f t="shared" si="131"/>
        <v>912.01083935590987</v>
      </c>
      <c r="P214" s="51" t="str">
        <f t="shared" si="132"/>
        <v>122.692307692308</v>
      </c>
      <c r="Q214" s="18" t="str">
        <f t="shared" si="133"/>
        <v>1+5.87359143347531i</v>
      </c>
      <c r="R214" s="18">
        <f t="shared" si="141"/>
        <v>5.9581101305191186</v>
      </c>
      <c r="S214" s="18">
        <f t="shared" si="142"/>
        <v>1.4021597174681557</v>
      </c>
      <c r="T214" s="18" t="str">
        <f t="shared" si="134"/>
        <v>1+0.00117471828669506i</v>
      </c>
      <c r="U214" s="18">
        <f t="shared" si="143"/>
        <v>1.0000006899812885</v>
      </c>
      <c r="V214" s="18">
        <f t="shared" si="144"/>
        <v>1.1747177463395629E-3</v>
      </c>
      <c r="W214" s="32" t="str">
        <f t="shared" si="135"/>
        <v>1-0.055645796688841i</v>
      </c>
      <c r="X214" s="18">
        <f t="shared" si="145"/>
        <v>1.001547030692586</v>
      </c>
      <c r="Y214" s="18">
        <f t="shared" si="146"/>
        <v>-5.5588468264101576E-2</v>
      </c>
      <c r="Z214" s="32" t="str">
        <f t="shared" si="136"/>
        <v>0.999972840366658+0.0059380797206586i</v>
      </c>
      <c r="AA214" s="18">
        <f t="shared" si="147"/>
        <v>0.99999047108546524</v>
      </c>
      <c r="AB214" s="18">
        <f t="shared" si="148"/>
        <v>5.9381712031010767E-3</v>
      </c>
      <c r="AC214" s="69" t="str">
        <f t="shared" si="149"/>
        <v>2.22896159167103-20.5037560889553i</v>
      </c>
      <c r="AD214" s="67">
        <f t="shared" si="150"/>
        <v>26.287691886672381</v>
      </c>
      <c r="AE214" s="64">
        <f t="shared" si="151"/>
        <v>-83.795744414290652</v>
      </c>
      <c r="AF214" s="32" t="str">
        <f t="shared" si="137"/>
        <v>-0.0000198412698412698</v>
      </c>
      <c r="AG214" s="32" t="str">
        <f t="shared" si="138"/>
        <v>0.000198269525461703i</v>
      </c>
      <c r="AH214" s="32">
        <f t="shared" si="152"/>
        <v>1.9826952546170301E-4</v>
      </c>
      <c r="AI214" s="32">
        <f t="shared" si="153"/>
        <v>1.5707963267948966</v>
      </c>
      <c r="AJ214" s="32" t="str">
        <f t="shared" si="139"/>
        <v>1+0.0688196444353756i</v>
      </c>
      <c r="AK214" s="32">
        <f t="shared" si="154"/>
        <v>1.0023652744684501</v>
      </c>
      <c r="AL214" s="32">
        <f t="shared" si="155"/>
        <v>6.871130556455704E-2</v>
      </c>
      <c r="AM214" s="32" t="str">
        <f t="shared" si="140"/>
        <v>1+1.488224810915i</v>
      </c>
      <c r="AN214" s="32">
        <f t="shared" si="156"/>
        <v>1.7929899854218339</v>
      </c>
      <c r="AO214" s="32">
        <f t="shared" si="157"/>
        <v>0.97915080599958559</v>
      </c>
      <c r="AP214" s="61" t="str">
        <f t="shared" si="158"/>
        <v>-0.141373448769026+0.109801481751243i</v>
      </c>
      <c r="AQ214" s="52">
        <f t="shared" si="159"/>
        <v>-14.942693049309925</v>
      </c>
      <c r="AR214" s="64">
        <f t="shared" si="160"/>
        <v>142.16434087692616</v>
      </c>
      <c r="AS214" s="61" t="str">
        <f t="shared" si="161"/>
        <v>1.93622681264513+3.14342999654662i</v>
      </c>
      <c r="AT214" s="67">
        <f t="shared" si="162"/>
        <v>11.344998837362466</v>
      </c>
      <c r="AU214" s="64">
        <f t="shared" si="163"/>
        <v>58.368596462635601</v>
      </c>
    </row>
    <row r="215" spans="14:47" x14ac:dyDescent="0.25">
      <c r="N215" s="11">
        <v>97</v>
      </c>
      <c r="O215" s="53">
        <f t="shared" si="131"/>
        <v>933.25430079699106</v>
      </c>
      <c r="P215" s="51" t="str">
        <f t="shared" si="132"/>
        <v>122.692307692308</v>
      </c>
      <c r="Q215" s="18" t="str">
        <f t="shared" si="133"/>
        <v>1+6.01040495339555i</v>
      </c>
      <c r="R215" s="18">
        <f t="shared" si="141"/>
        <v>6.0930261532182657</v>
      </c>
      <c r="S215" s="18">
        <f t="shared" si="142"/>
        <v>1.4059283906376752</v>
      </c>
      <c r="T215" s="18" t="str">
        <f t="shared" si="134"/>
        <v>1+0.00120208099067911i</v>
      </c>
      <c r="U215" s="18">
        <f t="shared" si="143"/>
        <v>1.0000007224990932</v>
      </c>
      <c r="V215" s="18">
        <f t="shared" si="144"/>
        <v>1.2020804116777857E-3</v>
      </c>
      <c r="W215" s="32" t="str">
        <f t="shared" si="135"/>
        <v>1-0.0569419538015706i</v>
      </c>
      <c r="X215" s="18">
        <f t="shared" si="145"/>
        <v>1.0016198810440715</v>
      </c>
      <c r="Y215" s="18">
        <f t="shared" si="146"/>
        <v>-5.688053065201433E-2</v>
      </c>
      <c r="Z215" s="32" t="str">
        <f t="shared" si="136"/>
        <v>0.999971560372573+0.00607639536575441i</v>
      </c>
      <c r="AA215" s="18">
        <f t="shared" si="147"/>
        <v>0.99999002201751963</v>
      </c>
      <c r="AB215" s="18">
        <f t="shared" si="148"/>
        <v>6.0764933909662009E-3</v>
      </c>
      <c r="AC215" s="69" t="str">
        <f t="shared" si="149"/>
        <v>2.07603850177517-20.0622205790716i</v>
      </c>
      <c r="AD215" s="67">
        <f t="shared" si="150"/>
        <v>26.093837524488674</v>
      </c>
      <c r="AE215" s="64">
        <f t="shared" si="151"/>
        <v>-84.092060715300804</v>
      </c>
      <c r="AF215" s="32" t="str">
        <f t="shared" si="137"/>
        <v>-0.0000198412698412698</v>
      </c>
      <c r="AG215" s="32" t="str">
        <f t="shared" si="138"/>
        <v>0.000202887815987792i</v>
      </c>
      <c r="AH215" s="32">
        <f t="shared" si="152"/>
        <v>2.0288781598779199E-4</v>
      </c>
      <c r="AI215" s="32">
        <f t="shared" si="153"/>
        <v>1.5707963267948966</v>
      </c>
      <c r="AJ215" s="32" t="str">
        <f t="shared" si="139"/>
        <v>1+0.0704226598819731i</v>
      </c>
      <c r="AK215" s="32">
        <f t="shared" si="154"/>
        <v>1.0024766087170573</v>
      </c>
      <c r="AL215" s="32">
        <f t="shared" si="155"/>
        <v>7.0306588174096421E-2</v>
      </c>
      <c r="AM215" s="32" t="str">
        <f t="shared" si="140"/>
        <v>1+1.52289001994767i</v>
      </c>
      <c r="AN215" s="32">
        <f t="shared" si="156"/>
        <v>1.8218655309479388</v>
      </c>
      <c r="AO215" s="32">
        <f t="shared" si="157"/>
        <v>0.98976306380956858</v>
      </c>
      <c r="AP215" s="61" t="str">
        <f t="shared" si="158"/>
        <v>-0.141342048868948+0.107747972675173i</v>
      </c>
      <c r="AQ215" s="52">
        <f t="shared" si="159"/>
        <v>-15.004888643538351</v>
      </c>
      <c r="AR215" s="64">
        <f t="shared" si="160"/>
        <v>142.68097549988579</v>
      </c>
      <c r="AS215" s="61" t="str">
        <f t="shared" si="161"/>
        <v>1.86823205938538+3.05932430126863i</v>
      </c>
      <c r="AT215" s="67">
        <f t="shared" si="162"/>
        <v>11.08894888095033</v>
      </c>
      <c r="AU215" s="64">
        <f t="shared" si="163"/>
        <v>58.588914784584951</v>
      </c>
    </row>
    <row r="216" spans="14:47" x14ac:dyDescent="0.25">
      <c r="N216" s="11">
        <v>98</v>
      </c>
      <c r="O216" s="53">
        <f t="shared" si="131"/>
        <v>954.99258602143675</v>
      </c>
      <c r="P216" s="51" t="str">
        <f t="shared" si="132"/>
        <v>122.692307692308</v>
      </c>
      <c r="Q216" s="18" t="str">
        <f t="shared" si="133"/>
        <v>1+6.15040526957921i</v>
      </c>
      <c r="R216" s="18">
        <f t="shared" si="141"/>
        <v>6.2311704342015641</v>
      </c>
      <c r="S216" s="18">
        <f t="shared" si="142"/>
        <v>1.4096158507251864</v>
      </c>
      <c r="T216" s="18" t="str">
        <f t="shared" si="134"/>
        <v>1+0.00123008105391584i</v>
      </c>
      <c r="U216" s="18">
        <f t="shared" si="143"/>
        <v>1.0000007565494133</v>
      </c>
      <c r="V216" s="18">
        <f t="shared" si="144"/>
        <v>1.2300804335047687E-3</v>
      </c>
      <c r="W216" s="32" t="str">
        <f t="shared" si="135"/>
        <v>1-0.0582683022919218i</v>
      </c>
      <c r="X216" s="18">
        <f t="shared" si="145"/>
        <v>1.0016961590482329</v>
      </c>
      <c r="Y216" s="18">
        <f t="shared" si="146"/>
        <v>-5.820249221893669E-2</v>
      </c>
      <c r="Z216" s="32" t="str">
        <f t="shared" si="136"/>
        <v>0.999970220054225+0.00621793279610375i</v>
      </c>
      <c r="AA216" s="18">
        <f t="shared" si="147"/>
        <v>0.99998955178719329</v>
      </c>
      <c r="AB216" s="18">
        <f t="shared" si="148"/>
        <v>6.2180378320202184E-3</v>
      </c>
      <c r="AC216" s="69" t="str">
        <f t="shared" si="149"/>
        <v>1.92963519932918-19.6290904654648i</v>
      </c>
      <c r="AD216" s="67">
        <f t="shared" si="150"/>
        <v>25.899771591758523</v>
      </c>
      <c r="AE216" s="64">
        <f t="shared" si="151"/>
        <v>-84.385585049910304</v>
      </c>
      <c r="AF216" s="32" t="str">
        <f t="shared" si="137"/>
        <v>-0.0000198412698412698</v>
      </c>
      <c r="AG216" s="32" t="str">
        <f t="shared" si="138"/>
        <v>0.000207613680319454i</v>
      </c>
      <c r="AH216" s="32">
        <f t="shared" si="152"/>
        <v>2.07613680319454E-4</v>
      </c>
      <c r="AI216" s="32">
        <f t="shared" si="153"/>
        <v>1.5707963267948966</v>
      </c>
      <c r="AJ216" s="32" t="str">
        <f t="shared" si="139"/>
        <v>1+0.0720630143549942i</v>
      </c>
      <c r="AK216" s="32">
        <f t="shared" si="154"/>
        <v>1.0025931767361715</v>
      </c>
      <c r="AL216" s="32">
        <f t="shared" si="155"/>
        <v>7.1938658646580236E-2</v>
      </c>
      <c r="AM216" s="32" t="str">
        <f t="shared" si="140"/>
        <v>1+1.55836268542675i</v>
      </c>
      <c r="AN216" s="32">
        <f t="shared" si="156"/>
        <v>1.8516193613511585</v>
      </c>
      <c r="AO216" s="32">
        <f t="shared" si="157"/>
        <v>1.0002786574414215</v>
      </c>
      <c r="AP216" s="61" t="str">
        <f t="shared" si="158"/>
        <v>-0.14130918408344+0.105751385594878i</v>
      </c>
      <c r="AQ216" s="52">
        <f t="shared" si="159"/>
        <v>-15.065190698648795</v>
      </c>
      <c r="AR216" s="64">
        <f t="shared" si="160"/>
        <v>143.18996388412432</v>
      </c>
      <c r="AS216" s="61" t="str">
        <f t="shared" si="161"/>
        <v>1.80312833909422+2.97783235399657i</v>
      </c>
      <c r="AT216" s="67">
        <f t="shared" si="162"/>
        <v>10.834580893109722</v>
      </c>
      <c r="AU216" s="64">
        <f t="shared" si="163"/>
        <v>58.804378834213999</v>
      </c>
    </row>
    <row r="217" spans="14:47" x14ac:dyDescent="0.25">
      <c r="N217" s="11">
        <v>99</v>
      </c>
      <c r="O217" s="53">
        <f t="shared" si="131"/>
        <v>977.23722095581138</v>
      </c>
      <c r="P217" s="51" t="str">
        <f t="shared" si="132"/>
        <v>122.692307692308</v>
      </c>
      <c r="Q217" s="18" t="str">
        <f t="shared" si="133"/>
        <v>1+6.29366661204703i</v>
      </c>
      <c r="R217" s="18">
        <f t="shared" si="141"/>
        <v>6.3726163719147202</v>
      </c>
      <c r="S217" s="18">
        <f t="shared" si="142"/>
        <v>1.4132236515498537</v>
      </c>
      <c r="T217" s="18" t="str">
        <f t="shared" si="134"/>
        <v>1+0.00125873332240941i</v>
      </c>
      <c r="U217" s="18">
        <f t="shared" si="143"/>
        <v>1.0000007922044747</v>
      </c>
      <c r="V217" s="18">
        <f t="shared" si="144"/>
        <v>1.2587326576269985E-3</v>
      </c>
      <c r="W217" s="32" t="str">
        <f t="shared" si="135"/>
        <v>1-0.0596255454074202i</v>
      </c>
      <c r="X217" s="18">
        <f t="shared" si="145"/>
        <v>1.0017760256989245</v>
      </c>
      <c r="Y217" s="18">
        <f t="shared" si="146"/>
        <v>-5.9555035394039148E-2</v>
      </c>
      <c r="Z217" s="32" t="str">
        <f t="shared" si="136"/>
        <v>0.99996881656862+0.00636276705672564i</v>
      </c>
      <c r="AA217" s="18">
        <f t="shared" si="147"/>
        <v>0.99998905939728389</v>
      </c>
      <c r="AB217" s="18">
        <f t="shared" si="148"/>
        <v>6.3628796047486835E-3</v>
      </c>
      <c r="AC217" s="69" t="str">
        <f t="shared" si="149"/>
        <v>1.78948896742172-19.2042774649114i</v>
      </c>
      <c r="AD217" s="67">
        <f t="shared" si="150"/>
        <v>25.705505793276274</v>
      </c>
      <c r="AE217" s="64">
        <f t="shared" si="151"/>
        <v>-84.676448996788821</v>
      </c>
      <c r="AF217" s="32" t="str">
        <f t="shared" si="137"/>
        <v>-0.0000198412698412698</v>
      </c>
      <c r="AG217" s="32" t="str">
        <f t="shared" si="138"/>
        <v>0.000212449624172514i</v>
      </c>
      <c r="AH217" s="32">
        <f t="shared" si="152"/>
        <v>2.1244962417251399E-4</v>
      </c>
      <c r="AI217" s="32">
        <f t="shared" si="153"/>
        <v>1.5707963267948966</v>
      </c>
      <c r="AJ217" s="32" t="str">
        <f t="shared" si="139"/>
        <v>1+0.0737415775920929i</v>
      </c>
      <c r="AK217" s="32">
        <f t="shared" si="154"/>
        <v>1.0027152239124379</v>
      </c>
      <c r="AL217" s="32">
        <f t="shared" si="155"/>
        <v>7.3608347529690532E-2</v>
      </c>
      <c r="AM217" s="32" t="str">
        <f t="shared" si="140"/>
        <v>1+1.59466161542901i</v>
      </c>
      <c r="AN217" s="32">
        <f t="shared" si="156"/>
        <v>1.8822714118114474</v>
      </c>
      <c r="AO217" s="32">
        <f t="shared" si="157"/>
        <v>1.0106938598804902</v>
      </c>
      <c r="AP217" s="61" t="str">
        <f t="shared" si="158"/>
        <v>-0.14127478680513+0.103810647215055i</v>
      </c>
      <c r="AQ217" s="52">
        <f t="shared" si="159"/>
        <v>-15.12363732360428</v>
      </c>
      <c r="AR217" s="64">
        <f t="shared" si="160"/>
        <v>143.69104490055511</v>
      </c>
      <c r="AS217" s="61" t="str">
        <f t="shared" si="161"/>
        <v>1.74079880056731+2.89884821249417i</v>
      </c>
      <c r="AT217" s="67">
        <f t="shared" si="162"/>
        <v>10.581868469671992</v>
      </c>
      <c r="AU217" s="64">
        <f t="shared" si="163"/>
        <v>59.014595903766327</v>
      </c>
    </row>
    <row r="218" spans="14:47" x14ac:dyDescent="0.25">
      <c r="N218" s="11">
        <v>100</v>
      </c>
      <c r="O218" s="53">
        <f t="shared" si="131"/>
        <v>1000</v>
      </c>
      <c r="P218" s="51" t="str">
        <f t="shared" si="132"/>
        <v>122.692307692308</v>
      </c>
      <c r="Q218" s="18" t="str">
        <f t="shared" si="133"/>
        <v>1+6.44026493985908i</v>
      </c>
      <c r="R218" s="18">
        <f t="shared" si="141"/>
        <v>6.5174391056286884</v>
      </c>
      <c r="S218" s="18">
        <f t="shared" si="142"/>
        <v>1.416753330144441</v>
      </c>
      <c r="T218" s="18" t="str">
        <f t="shared" si="134"/>
        <v>1+0.00128805298797182i</v>
      </c>
      <c r="U218" s="18">
        <f t="shared" si="143"/>
        <v>1.0000008295399059</v>
      </c>
      <c r="V218" s="18">
        <f t="shared" si="144"/>
        <v>1.288052275644664E-3</v>
      </c>
      <c r="W218" s="32" t="str">
        <f t="shared" si="135"/>
        <v>1-0.0610144027763309i</v>
      </c>
      <c r="X218" s="18">
        <f t="shared" si="145"/>
        <v>1.0018596495248984</v>
      </c>
      <c r="Y218" s="18">
        <f t="shared" si="146"/>
        <v>-6.0938857507977284E-2</v>
      </c>
      <c r="Z218" s="32" t="str">
        <f t="shared" si="136"/>
        <v>0.999967346938776+0.00651097494066218i</v>
      </c>
      <c r="AA218" s="18">
        <f t="shared" si="147"/>
        <v>0.99998854380360391</v>
      </c>
      <c r="AB218" s="18">
        <f t="shared" si="148"/>
        <v>6.5110955380537636E-3</v>
      </c>
      <c r="AC218" s="69" t="str">
        <f t="shared" si="149"/>
        <v>1.65534636091119-18.7876890624219i</v>
      </c>
      <c r="AD218" s="67">
        <f t="shared" si="150"/>
        <v>25.51105148244968</v>
      </c>
      <c r="AE218" s="64">
        <f t="shared" si="151"/>
        <v>-84.96478410708751</v>
      </c>
      <c r="AF218" s="32" t="str">
        <f t="shared" si="137"/>
        <v>-0.0000198412698412698</v>
      </c>
      <c r="AG218" s="32" t="str">
        <f t="shared" si="138"/>
        <v>0.000217398211628414i</v>
      </c>
      <c r="AH218" s="32">
        <f t="shared" si="152"/>
        <v>2.1739821162841401E-4</v>
      </c>
      <c r="AI218" s="32">
        <f t="shared" si="153"/>
        <v>1.5707963267948966</v>
      </c>
      <c r="AJ218" s="32" t="str">
        <f t="shared" si="139"/>
        <v>1+0.0754592395897161i</v>
      </c>
      <c r="AK218" s="32">
        <f t="shared" si="154"/>
        <v>1.0028430070751144</v>
      </c>
      <c r="AL218" s="32">
        <f t="shared" si="155"/>
        <v>7.5316502854816267E-2</v>
      </c>
      <c r="AM218" s="32" t="str">
        <f t="shared" si="140"/>
        <v>1+1.63180605612761i</v>
      </c>
      <c r="AN218" s="32">
        <f t="shared" si="156"/>
        <v>1.9138419487551068</v>
      </c>
      <c r="AO218" s="32">
        <f t="shared" si="157"/>
        <v>1.0210051546833578</v>
      </c>
      <c r="AP218" s="61" t="str">
        <f t="shared" si="158"/>
        <v>-0.141238786376744+0.10192471282109i</v>
      </c>
      <c r="AQ218" s="52">
        <f t="shared" si="159"/>
        <v>-15.180267691705225</v>
      </c>
      <c r="AR218" s="64">
        <f t="shared" si="160"/>
        <v>144.1839684831923</v>
      </c>
      <c r="AS218" s="61" t="str">
        <f t="shared" si="161"/>
        <v>1.68113070121103+2.82227110445541i</v>
      </c>
      <c r="AT218" s="67">
        <f t="shared" si="162"/>
        <v>10.330783790744462</v>
      </c>
      <c r="AU218" s="64">
        <f t="shared" si="163"/>
        <v>59.219184376104849</v>
      </c>
    </row>
    <row r="219" spans="14:47" x14ac:dyDescent="0.25">
      <c r="N219" s="11">
        <v>1</v>
      </c>
      <c r="O219" s="53">
        <f>10^(3+(N219/100))</f>
        <v>1023.2929922807547</v>
      </c>
      <c r="P219" s="51" t="str">
        <f t="shared" si="132"/>
        <v>122.692307692308</v>
      </c>
      <c r="Q219" s="18" t="str">
        <f t="shared" si="133"/>
        <v>1+6.59027798138923i</v>
      </c>
      <c r="R219" s="18">
        <f t="shared" si="141"/>
        <v>6.6657155558862327</v>
      </c>
      <c r="S219" s="18">
        <f t="shared" si="142"/>
        <v>1.4202064060113797</v>
      </c>
      <c r="T219" s="18" t="str">
        <f t="shared" si="134"/>
        <v>1+0.00131805559627785i</v>
      </c>
      <c r="U219" s="18">
        <f t="shared" si="143"/>
        <v>1.0000008686349002</v>
      </c>
      <c r="V219" s="18">
        <f t="shared" si="144"/>
        <v>1.3180548330055865E-3</v>
      </c>
      <c r="W219" s="32" t="str">
        <f t="shared" si="135"/>
        <v>1-0.0624356107892148i</v>
      </c>
      <c r="X219" s="18">
        <f t="shared" si="145"/>
        <v>1.0019472069398778</v>
      </c>
      <c r="Y219" s="18">
        <f t="shared" si="146"/>
        <v>-6.2354671069824723E-2</v>
      </c>
      <c r="Z219" s="32" t="str">
        <f t="shared" si="136"/>
        <v>0.999965808047411+0.00666263502969521i</v>
      </c>
      <c r="AA219" s="18">
        <f t="shared" si="147"/>
        <v>0.99998800391277209</v>
      </c>
      <c r="AB219" s="18">
        <f t="shared" si="148"/>
        <v>6.6627642521420597E-3</v>
      </c>
      <c r="AC219" s="69" t="str">
        <f t="shared" si="149"/>
        <v>1.52696299507393-18.3792289572607i</v>
      </c>
      <c r="AD219" s="67">
        <f t="shared" si="150"/>
        <v>25.316419679066875</v>
      </c>
      <c r="AE219" s="64">
        <f t="shared" si="151"/>
        <v>-85.250721879562889</v>
      </c>
      <c r="AF219" s="32" t="str">
        <f t="shared" si="137"/>
        <v>-0.0000198412698412698</v>
      </c>
      <c r="AG219" s="32" t="str">
        <f t="shared" si="138"/>
        <v>0.000222462066493724i</v>
      </c>
      <c r="AH219" s="32">
        <f t="shared" si="152"/>
        <v>2.2246206649372401E-4</v>
      </c>
      <c r="AI219" s="32">
        <f t="shared" si="153"/>
        <v>1.5707963267948966</v>
      </c>
      <c r="AJ219" s="32" t="str">
        <f t="shared" si="139"/>
        <v>1+0.0772169110749909i</v>
      </c>
      <c r="AK219" s="32">
        <f t="shared" si="154"/>
        <v>1.002976795023675</v>
      </c>
      <c r="AL219" s="32">
        <f t="shared" si="155"/>
        <v>7.7063990413825112E-2</v>
      </c>
      <c r="AM219" s="32" t="str">
        <f t="shared" si="140"/>
        <v>1+1.66981570199668i</v>
      </c>
      <c r="AN219" s="32">
        <f t="shared" si="156"/>
        <v>1.9463515814555872</v>
      </c>
      <c r="AO219" s="32">
        <f t="shared" si="157"/>
        <v>1.0312092380544411</v>
      </c>
      <c r="AP219" s="61" t="str">
        <f t="shared" si="158"/>
        <v>-0.141201108960277+0.100092565653664i</v>
      </c>
      <c r="AQ219" s="52">
        <f t="shared" si="159"/>
        <v>-15.235121930975488</v>
      </c>
      <c r="AR219" s="64">
        <f t="shared" si="160"/>
        <v>144.66849573227191</v>
      </c>
      <c r="AS219" s="61" t="str">
        <f t="shared" si="161"/>
        <v>1.62401531282259+2.7480051544352i</v>
      </c>
      <c r="AT219" s="67">
        <f t="shared" si="162"/>
        <v>10.081297748091384</v>
      </c>
      <c r="AU219" s="64">
        <f t="shared" si="163"/>
        <v>59.417773852709132</v>
      </c>
    </row>
    <row r="220" spans="14:47" x14ac:dyDescent="0.25">
      <c r="N220" s="11">
        <v>2</v>
      </c>
      <c r="O220" s="53">
        <f t="shared" ref="O220:O283" si="164">10^(3+(N220/100))</f>
        <v>1047.1285480509</v>
      </c>
      <c r="P220" s="51" t="str">
        <f t="shared" si="132"/>
        <v>122.692307692308</v>
      </c>
      <c r="Q220" s="18" t="str">
        <f t="shared" si="133"/>
        <v>1+6.74378527553775i</v>
      </c>
      <c r="R220" s="18">
        <f t="shared" si="141"/>
        <v>6.8175244658570726</v>
      </c>
      <c r="S220" s="18">
        <f t="shared" si="142"/>
        <v>1.4235843804591857</v>
      </c>
      <c r="T220" s="18" t="str">
        <f t="shared" si="134"/>
        <v>1+0.00134875705510755i</v>
      </c>
      <c r="U220" s="18">
        <f t="shared" si="143"/>
        <v>1.0000009095723832</v>
      </c>
      <c r="V220" s="18">
        <f t="shared" si="144"/>
        <v>1.3487562372466247E-3</v>
      </c>
      <c r="W220" s="32" t="str">
        <f t="shared" si="135"/>
        <v>1-0.0638899229893722i</v>
      </c>
      <c r="X220" s="18">
        <f t="shared" si="145"/>
        <v>1.0020388826086479</v>
      </c>
      <c r="Y220" s="18">
        <f t="shared" si="146"/>
        <v>-6.3803204045552606E-2</v>
      </c>
      <c r="Z220" s="32" t="str">
        <f t="shared" si="136"/>
        <v>0.99996419663033+0.00681782773601138i</v>
      </c>
      <c r="AA220" s="18">
        <f t="shared" si="147"/>
        <v>0.99998743857989492</v>
      </c>
      <c r="AB220" s="18">
        <f t="shared" si="148"/>
        <v>6.8179662003731182E-3</v>
      </c>
      <c r="AC220" s="69" t="str">
        <f t="shared" si="149"/>
        <v>1.40410332791578-17.9787974821378i</v>
      </c>
      <c r="AD220" s="67">
        <f t="shared" si="150"/>
        <v>25.121621086848108</v>
      </c>
      <c r="AE220" s="64">
        <f t="shared" si="151"/>
        <v>-85.534393740437665</v>
      </c>
      <c r="AF220" s="32" t="str">
        <f t="shared" si="137"/>
        <v>-0.0000198412698412698</v>
      </c>
      <c r="AG220" s="32" t="str">
        <f t="shared" si="138"/>
        <v>0.000227643873691323i</v>
      </c>
      <c r="AH220" s="32">
        <f t="shared" si="152"/>
        <v>2.2764387369132301E-4</v>
      </c>
      <c r="AI220" s="32">
        <f t="shared" si="153"/>
        <v>1.5707963267948966</v>
      </c>
      <c r="AJ220" s="32" t="str">
        <f t="shared" si="139"/>
        <v>1+0.0790155239886044i</v>
      </c>
      <c r="AK220" s="32">
        <f t="shared" si="154"/>
        <v>1.0031168690791685</v>
      </c>
      <c r="AL220" s="32">
        <f t="shared" si="155"/>
        <v>7.8851694033277631E-2</v>
      </c>
      <c r="AM220" s="32" t="str">
        <f t="shared" si="140"/>
        <v>1+1.70871070625357i</v>
      </c>
      <c r="AN220" s="32">
        <f t="shared" si="156"/>
        <v>1.9798212741723871</v>
      </c>
      <c r="AO220" s="32">
        <f t="shared" si="157"/>
        <v>1.0413030200131743</v>
      </c>
      <c r="AP220" s="61" t="str">
        <f t="shared" si="158"/>
        <v>-0.141161677401202+0.0983132162933224i</v>
      </c>
      <c r="AQ220" s="52">
        <f t="shared" si="159"/>
        <v>-15.288241016006756</v>
      </c>
      <c r="AR220" s="64">
        <f t="shared" si="160"/>
        <v>145.14439896541791</v>
      </c>
      <c r="AS220" s="61" t="str">
        <f t="shared" si="161"/>
        <v>1.56934782454205+2.67595912441064i</v>
      </c>
      <c r="AT220" s="67">
        <f t="shared" si="162"/>
        <v>9.8333800708413612</v>
      </c>
      <c r="AU220" s="64">
        <f t="shared" si="163"/>
        <v>59.610005224980327</v>
      </c>
    </row>
    <row r="221" spans="14:47" x14ac:dyDescent="0.25">
      <c r="N221" s="11">
        <v>3</v>
      </c>
      <c r="O221" s="53">
        <f t="shared" si="164"/>
        <v>1071.5193052376069</v>
      </c>
      <c r="P221" s="51" t="str">
        <f t="shared" si="132"/>
        <v>122.692307692308</v>
      </c>
      <c r="Q221" s="18" t="str">
        <f t="shared" si="133"/>
        <v>1+6.90086821390392i</v>
      </c>
      <c r="R221" s="18">
        <f t="shared" si="141"/>
        <v>6.9729464436254975</v>
      </c>
      <c r="S221" s="18">
        <f t="shared" si="142"/>
        <v>1.4268887360143474</v>
      </c>
      <c r="T221" s="18" t="str">
        <f t="shared" si="134"/>
        <v>1+0.00138017364278078i</v>
      </c>
      <c r="U221" s="18">
        <f t="shared" si="143"/>
        <v>1.0000009524391886</v>
      </c>
      <c r="V221" s="18">
        <f t="shared" si="144"/>
        <v>1.3801727664270547E-3</v>
      </c>
      <c r="W221" s="32" t="str">
        <f t="shared" si="135"/>
        <v>1-0.0653781104723816i</v>
      </c>
      <c r="X221" s="18">
        <f t="shared" si="145"/>
        <v>1.0021348698298742</v>
      </c>
      <c r="Y221" s="18">
        <f t="shared" si="146"/>
        <v>-6.5285200137755572E-2</v>
      </c>
      <c r="Z221" s="32" t="str">
        <f t="shared" si="136"/>
        <v>0.999962509269502+0.00697663534483781i</v>
      </c>
      <c r="AA221" s="18">
        <f t="shared" si="147"/>
        <v>0.9999868466061409</v>
      </c>
      <c r="AB221" s="18">
        <f t="shared" si="148"/>
        <v>6.9767837120916299E-3</v>
      </c>
      <c r="AC221" s="69" t="str">
        <f t="shared" si="149"/>
        <v>1.28654043755524-17.5862919966538i</v>
      </c>
      <c r="AD221" s="67">
        <f t="shared" si="150"/>
        <v>24.926666110780364</v>
      </c>
      <c r="AE221" s="64">
        <f t="shared" si="151"/>
        <v>-85.815931027702362</v>
      </c>
      <c r="AF221" s="32" t="str">
        <f t="shared" si="137"/>
        <v>-0.0000198412698412698</v>
      </c>
      <c r="AG221" s="32" t="str">
        <f t="shared" si="138"/>
        <v>0.000232946380683976i</v>
      </c>
      <c r="AH221" s="32">
        <f t="shared" si="152"/>
        <v>2.32946380683976E-4</v>
      </c>
      <c r="AI221" s="32">
        <f t="shared" si="153"/>
        <v>1.5707963267948966</v>
      </c>
      <c r="AJ221" s="32" t="str">
        <f t="shared" si="139"/>
        <v>1+0.0808560319789307i</v>
      </c>
      <c r="AK221" s="32">
        <f t="shared" si="154"/>
        <v>1.0032635236603482</v>
      </c>
      <c r="AL221" s="32">
        <f t="shared" si="155"/>
        <v>8.0680515845417924E-2</v>
      </c>
      <c r="AM221" s="32" t="str">
        <f t="shared" si="140"/>
        <v>1+1.74851169154438i</v>
      </c>
      <c r="AN221" s="32">
        <f t="shared" si="156"/>
        <v>2.0142723588103446</v>
      </c>
      <c r="AO221" s="32">
        <f t="shared" si="157"/>
        <v>1.0512836246882822</v>
      </c>
      <c r="AP221" s="61" t="str">
        <f t="shared" si="158"/>
        <v>-0.141120411087605+0.0965857020544079i</v>
      </c>
      <c r="AQ221" s="52">
        <f t="shared" si="159"/>
        <v>-15.33966666185211</v>
      </c>
      <c r="AR221" s="64">
        <f t="shared" si="160"/>
        <v>145.61146171897298</v>
      </c>
      <c r="AS221" s="61" t="str">
        <f t="shared" si="161"/>
        <v>1.517027243602+2.6060461674571i</v>
      </c>
      <c r="AT221" s="67">
        <f t="shared" si="162"/>
        <v>9.5869994489282533</v>
      </c>
      <c r="AU221" s="64">
        <f t="shared" si="163"/>
        <v>59.795530691270599</v>
      </c>
    </row>
    <row r="222" spans="14:47" x14ac:dyDescent="0.25">
      <c r="N222" s="11">
        <v>4</v>
      </c>
      <c r="O222" s="53">
        <f t="shared" si="164"/>
        <v>1096.4781961431863</v>
      </c>
      <c r="P222" s="51" t="str">
        <f t="shared" si="132"/>
        <v>122.692307692308</v>
      </c>
      <c r="Q222" s="18" t="str">
        <f t="shared" si="133"/>
        <v>1+7.06161008394088i</v>
      </c>
      <c r="R222" s="18">
        <f t="shared" si="141"/>
        <v>7.1320640054345787</v>
      </c>
      <c r="S222" s="18">
        <f t="shared" si="142"/>
        <v>1.4301209359039964</v>
      </c>
      <c r="T222" s="18" t="str">
        <f t="shared" si="134"/>
        <v>1+0.00141232201678818i</v>
      </c>
      <c r="U222" s="18">
        <f t="shared" si="143"/>
        <v>1.0000009973262423</v>
      </c>
      <c r="V222" s="18">
        <f t="shared" si="144"/>
        <v>1.4123210777582957E-3</v>
      </c>
      <c r="W222" s="32" t="str">
        <f t="shared" si="135"/>
        <v>1-0.0669009622949451i</v>
      </c>
      <c r="X222" s="18">
        <f t="shared" si="145"/>
        <v>1.0022353709363832</v>
      </c>
      <c r="Y222" s="18">
        <f t="shared" si="146"/>
        <v>-6.6801419066293527E-2</v>
      </c>
      <c r="Z222" s="32" t="str">
        <f t="shared" si="136"/>
        <v>0.999960742385808+0.00713914205807075i</v>
      </c>
      <c r="AA222" s="18">
        <f t="shared" si="147"/>
        <v>0.99998622673619941</v>
      </c>
      <c r="AB222" s="18">
        <f t="shared" si="148"/>
        <v>7.1393010364667027E-3</v>
      </c>
      <c r="AC222" s="69" t="str">
        <f t="shared" si="149"/>
        <v>1.17405579595531-17.201607256076i</v>
      </c>
      <c r="AD222" s="67">
        <f t="shared" si="150"/>
        <v>24.731564874232014</v>
      </c>
      <c r="AE222" s="64">
        <f t="shared" si="151"/>
        <v>-86.095464979571659</v>
      </c>
      <c r="AF222" s="32" t="str">
        <f t="shared" si="137"/>
        <v>-0.0000198412698412698</v>
      </c>
      <c r="AG222" s="32" t="str">
        <f t="shared" si="138"/>
        <v>0.000238372398931078i</v>
      </c>
      <c r="AH222" s="32">
        <f t="shared" si="152"/>
        <v>2.3837239893107799E-4</v>
      </c>
      <c r="AI222" s="32">
        <f t="shared" si="153"/>
        <v>1.5707963267948966</v>
      </c>
      <c r="AJ222" s="32" t="str">
        <f t="shared" si="139"/>
        <v>1+0.0827394109076684i</v>
      </c>
      <c r="AK222" s="32">
        <f t="shared" si="154"/>
        <v>1.0034170668856237</v>
      </c>
      <c r="AL222" s="32">
        <f t="shared" si="155"/>
        <v>8.2551376555223238E-2</v>
      </c>
      <c r="AM222" s="32" t="str">
        <f t="shared" si="140"/>
        <v>1+1.78923976087833i</v>
      </c>
      <c r="AN222" s="32">
        <f t="shared" si="156"/>
        <v>2.0497265480809737</v>
      </c>
      <c r="AO222" s="32">
        <f t="shared" si="157"/>
        <v>1.0611483897804919</v>
      </c>
      <c r="AP222" s="61" t="str">
        <f t="shared" si="158"/>
        <v>-0.141077225804123+0.0949090863876623i</v>
      </c>
      <c r="AQ222" s="52">
        <f t="shared" si="159"/>
        <v>-15.389441220514763</v>
      </c>
      <c r="AR222" s="64">
        <f t="shared" si="160"/>
        <v>146.06947870191584</v>
      </c>
      <c r="AS222" s="61" t="str">
        <f t="shared" si="161"/>
        <v>1.46695629444093+2.53818359402153i</v>
      </c>
      <c r="AT222" s="67">
        <f t="shared" si="162"/>
        <v>9.3421236537172465</v>
      </c>
      <c r="AU222" s="64">
        <f t="shared" si="163"/>
        <v>59.974013722344147</v>
      </c>
    </row>
    <row r="223" spans="14:47" x14ac:dyDescent="0.25">
      <c r="N223" s="11">
        <v>5</v>
      </c>
      <c r="O223" s="53">
        <f t="shared" si="164"/>
        <v>1122.0184543019636</v>
      </c>
      <c r="P223" s="51" t="str">
        <f t="shared" si="132"/>
        <v>122.692307692308</v>
      </c>
      <c r="Q223" s="18" t="str">
        <f t="shared" si="133"/>
        <v>1+7.22609611311581i</v>
      </c>
      <c r="R223" s="18">
        <f t="shared" si="141"/>
        <v>7.2949616199118843</v>
      </c>
      <c r="S223" s="18">
        <f t="shared" si="142"/>
        <v>1.4332824236048858</v>
      </c>
      <c r="T223" s="18" t="str">
        <f t="shared" si="134"/>
        <v>1+0.00144521922262316i</v>
      </c>
      <c r="U223" s="18">
        <f t="shared" si="143"/>
        <v>1.0000010443287555</v>
      </c>
      <c r="V223" s="18">
        <f t="shared" si="144"/>
        <v>1.4452182164345674E-3</v>
      </c>
      <c r="W223" s="32" t="str">
        <f t="shared" si="135"/>
        <v>1-0.0684592858932562i</v>
      </c>
      <c r="X223" s="18">
        <f t="shared" si="145"/>
        <v>1.0023405977136788</v>
      </c>
      <c r="Y223" s="18">
        <f t="shared" si="146"/>
        <v>-6.835263684948617E-2</v>
      </c>
      <c r="Z223" s="32" t="str">
        <f t="shared" si="136"/>
        <v>0.999958892231452+0.0073054340389206i</v>
      </c>
      <c r="AA223" s="18">
        <f t="shared" si="147"/>
        <v>0.99998557765562279</v>
      </c>
      <c r="AB223" s="18">
        <f t="shared" si="148"/>
        <v>7.3056043873625364E-3</v>
      </c>
      <c r="AC223" s="69" t="str">
        <f t="shared" si="149"/>
        <v>1.06643904015947-16.8246357565253i</v>
      </c>
      <c r="AD223" s="67">
        <f t="shared" si="150"/>
        <v>24.536327235849456</v>
      </c>
      <c r="AE223" s="64">
        <f t="shared" si="151"/>
        <v>-86.373126726818725</v>
      </c>
      <c r="AF223" s="32" t="str">
        <f t="shared" si="137"/>
        <v>-0.0000198412698412698</v>
      </c>
      <c r="AG223" s="32" t="str">
        <f t="shared" si="138"/>
        <v>0.000243924805379324i</v>
      </c>
      <c r="AH223" s="32">
        <f t="shared" si="152"/>
        <v>2.4392480537932401E-4</v>
      </c>
      <c r="AI223" s="32">
        <f t="shared" si="153"/>
        <v>1.5707963267948966</v>
      </c>
      <c r="AJ223" s="32" t="str">
        <f t="shared" si="139"/>
        <v>1+0.0846666593672548i</v>
      </c>
      <c r="AK223" s="32">
        <f t="shared" si="154"/>
        <v>1.0035778212019288</v>
      </c>
      <c r="AL223" s="32">
        <f t="shared" si="155"/>
        <v>8.4465215702734436E-2</v>
      </c>
      <c r="AM223" s="32" t="str">
        <f t="shared" si="140"/>
        <v>1+1.83091650881689i</v>
      </c>
      <c r="AN223" s="32">
        <f t="shared" si="156"/>
        <v>2.0862059491474536</v>
      </c>
      <c r="AO223" s="32">
        <f t="shared" si="157"/>
        <v>1.0708948652392474</v>
      </c>
      <c r="AP223" s="61" t="str">
        <f t="shared" si="158"/>
        <v>-0.141032033580572+0.0932824582908548i</v>
      </c>
      <c r="AQ223" s="52">
        <f t="shared" si="159"/>
        <v>-15.437607580525523</v>
      </c>
      <c r="AR223" s="64">
        <f t="shared" si="160"/>
        <v>146.51825570501109</v>
      </c>
      <c r="AS223" s="61" t="str">
        <f t="shared" si="161"/>
        <v>1.41904131669349+2.47229265027858i</v>
      </c>
      <c r="AT223" s="67">
        <f t="shared" si="162"/>
        <v>9.0987196553239151</v>
      </c>
      <c r="AU223" s="64">
        <f t="shared" si="163"/>
        <v>60.145128978192361</v>
      </c>
    </row>
    <row r="224" spans="14:47" x14ac:dyDescent="0.25">
      <c r="N224" s="11">
        <v>6</v>
      </c>
      <c r="O224" s="53">
        <f t="shared" si="164"/>
        <v>1148.1536214968839</v>
      </c>
      <c r="P224" s="51" t="str">
        <f t="shared" si="132"/>
        <v>122.692307692308</v>
      </c>
      <c r="Q224" s="18" t="str">
        <f t="shared" si="133"/>
        <v>1+7.39441351409861i</v>
      </c>
      <c r="R224" s="18">
        <f t="shared" si="141"/>
        <v>7.4617257533015886</v>
      </c>
      <c r="S224" s="18">
        <f t="shared" si="142"/>
        <v>1.4363746224543863</v>
      </c>
      <c r="T224" s="18" t="str">
        <f t="shared" si="134"/>
        <v>1+0.00147888270281972i</v>
      </c>
      <c r="U224" s="18">
        <f t="shared" si="143"/>
        <v>1.0000010935464265</v>
      </c>
      <c r="V224" s="18">
        <f t="shared" si="144"/>
        <v>1.478881624669282E-3</v>
      </c>
      <c r="W224" s="32" t="str">
        <f t="shared" si="135"/>
        <v>1-0.0700539075111138i</v>
      </c>
      <c r="X224" s="18">
        <f t="shared" si="145"/>
        <v>1.0024507718374882</v>
      </c>
      <c r="Y224" s="18">
        <f t="shared" si="146"/>
        <v>-6.9939646085466836E-2</v>
      </c>
      <c r="Z224" s="32" t="str">
        <f t="shared" si="136"/>
        <v>0.999956954882006+0.00747559945759674i</v>
      </c>
      <c r="AA224" s="18">
        <f t="shared" si="147"/>
        <v>0.99998489798803702</v>
      </c>
      <c r="AB224" s="18">
        <f t="shared" si="148"/>
        <v>7.4757819892650916E-3</v>
      </c>
      <c r="AC224" s="69" t="str">
        <f t="shared" si="149"/>
        <v>0.963487742072512-16.4552680576419i</v>
      </c>
      <c r="AD224" s="67">
        <f t="shared" si="150"/>
        <v>24.34096280623827</v>
      </c>
      <c r="AE224" s="64">
        <f t="shared" si="151"/>
        <v>-86.649047288721107</v>
      </c>
      <c r="AF224" s="32" t="str">
        <f t="shared" si="137"/>
        <v>-0.0000198412698412698</v>
      </c>
      <c r="AG224" s="32" t="str">
        <f t="shared" si="138"/>
        <v>0.000249606543988109i</v>
      </c>
      <c r="AH224" s="32">
        <f t="shared" si="152"/>
        <v>2.4960654398810899E-4</v>
      </c>
      <c r="AI224" s="32">
        <f t="shared" si="153"/>
        <v>1.5707963267948966</v>
      </c>
      <c r="AJ224" s="32" t="str">
        <f t="shared" si="139"/>
        <v>1+0.0866387992103335i</v>
      </c>
      <c r="AK224" s="32">
        <f t="shared" si="154"/>
        <v>1.0037461240416365</v>
      </c>
      <c r="AL224" s="32">
        <f t="shared" si="155"/>
        <v>8.6422991919832007E-2</v>
      </c>
      <c r="AM224" s="32" t="str">
        <f t="shared" si="140"/>
        <v>1+1.87356403292346i</v>
      </c>
      <c r="AN224" s="32">
        <f t="shared" si="156"/>
        <v>2.1237330777346806</v>
      </c>
      <c r="AO224" s="32">
        <f t="shared" si="157"/>
        <v>1.0805208112023212</v>
      </c>
      <c r="AP224" s="61" t="str">
        <f t="shared" si="158"/>
        <v>-0.140984742535153+0.0917049317267379i</v>
      </c>
      <c r="AQ224" s="52">
        <f t="shared" si="159"/>
        <v>-15.484209070052028</v>
      </c>
      <c r="AR224" s="64">
        <f t="shared" si="160"/>
        <v>146.9576094680454</v>
      </c>
      <c r="AS224" s="61" t="str">
        <f t="shared" si="161"/>
        <v>1.37319216251935+2.40829830805988i</v>
      </c>
      <c r="AT224" s="67">
        <f t="shared" si="162"/>
        <v>8.8567537361862438</v>
      </c>
      <c r="AU224" s="64">
        <f t="shared" si="163"/>
        <v>60.308562179324355</v>
      </c>
    </row>
    <row r="225" spans="14:47" x14ac:dyDescent="0.25">
      <c r="N225" s="11">
        <v>7</v>
      </c>
      <c r="O225" s="53">
        <f t="shared" si="164"/>
        <v>1174.8975549395295</v>
      </c>
      <c r="P225" s="51" t="str">
        <f t="shared" si="132"/>
        <v>122.692307692308</v>
      </c>
      <c r="Q225" s="18" t="str">
        <f t="shared" si="133"/>
        <v>1+7.5666515310032i</v>
      </c>
      <c r="R225" s="18">
        <f t="shared" si="141"/>
        <v>7.6324449157287111</v>
      </c>
      <c r="S225" s="18">
        <f t="shared" si="142"/>
        <v>1.4393989353194201</v>
      </c>
      <c r="T225" s="18" t="str">
        <f t="shared" si="134"/>
        <v>1+0.00151333030620064i</v>
      </c>
      <c r="U225" s="18">
        <f t="shared" si="143"/>
        <v>1.0000011450836521</v>
      </c>
      <c r="V225" s="18">
        <f t="shared" si="144"/>
        <v>1.5133291509417033E-3</v>
      </c>
      <c r="W225" s="32" t="str">
        <f t="shared" si="135"/>
        <v>1-0.0716856726380068i</v>
      </c>
      <c r="X225" s="18">
        <f t="shared" si="145"/>
        <v>1.002566125331174</v>
      </c>
      <c r="Y225" s="18">
        <f t="shared" si="146"/>
        <v>-7.1563256233261041E-2</v>
      </c>
      <c r="Z225" s="32" t="str">
        <f t="shared" si="136"/>
        <v>0.999954926228095+0.00764972853805654i</v>
      </c>
      <c r="AA225" s="18">
        <f t="shared" si="147"/>
        <v>0.99998418629223385</v>
      </c>
      <c r="AB225" s="18">
        <f t="shared" si="148"/>
        <v>7.6499241242901335E-3</v>
      </c>
      <c r="AC225" s="69" t="str">
        <f t="shared" si="149"/>
        <v>0.865007177720697-16.0933930837818i</v>
      </c>
      <c r="AD225" s="67">
        <f t="shared" si="150"/>
        <v>24.145480964432792</v>
      </c>
      <c r="AE225" s="64">
        <f t="shared" si="151"/>
        <v>-86.923357572360146</v>
      </c>
      <c r="AF225" s="32" t="str">
        <f t="shared" si="137"/>
        <v>-0.0000198412698412698</v>
      </c>
      <c r="AG225" s="32" t="str">
        <f t="shared" si="138"/>
        <v>0.00025542062729045i</v>
      </c>
      <c r="AH225" s="32">
        <f t="shared" si="152"/>
        <v>2.5542062729045002E-4</v>
      </c>
      <c r="AI225" s="32">
        <f t="shared" si="153"/>
        <v>1.5707963267948966</v>
      </c>
      <c r="AJ225" s="32" t="str">
        <f t="shared" si="139"/>
        <v>1+0.0886568760915535i</v>
      </c>
      <c r="AK225" s="32">
        <f t="shared" si="154"/>
        <v>1.0039223285086916</v>
      </c>
      <c r="AL225" s="32">
        <f t="shared" si="155"/>
        <v>8.8425683180552272E-2</v>
      </c>
      <c r="AM225" s="32" t="str">
        <f t="shared" si="140"/>
        <v>1+1.91720494547985i</v>
      </c>
      <c r="AN225" s="32">
        <f t="shared" si="156"/>
        <v>2.1623308726863226</v>
      </c>
      <c r="AO225" s="32">
        <f t="shared" si="157"/>
        <v>1.0900241952499354</v>
      </c>
      <c r="AP225" s="61" t="str">
        <f t="shared" si="158"/>
        <v>-0.14093525671216+0.0901756450476369i</v>
      </c>
      <c r="AQ225" s="52">
        <f t="shared" si="159"/>
        <v>-15.529289363928099</v>
      </c>
      <c r="AR225" s="64">
        <f t="shared" si="160"/>
        <v>147.38736750815877</v>
      </c>
      <c r="AS225" s="61" t="str">
        <f t="shared" si="161"/>
        <v>1.32932209368527+2.34612906585429i</v>
      </c>
      <c r="AT225" s="67">
        <f t="shared" si="162"/>
        <v>8.6161916005046919</v>
      </c>
      <c r="AU225" s="64">
        <f t="shared" si="163"/>
        <v>60.464009935798757</v>
      </c>
    </row>
    <row r="226" spans="14:47" x14ac:dyDescent="0.25">
      <c r="N226" s="11">
        <v>8</v>
      </c>
      <c r="O226" s="53">
        <f t="shared" si="164"/>
        <v>1202.2644346174138</v>
      </c>
      <c r="P226" s="51" t="str">
        <f t="shared" si="132"/>
        <v>122.692307692308</v>
      </c>
      <c r="Q226" s="18" t="str">
        <f t="shared" si="133"/>
        <v>1+7.74290148670603i</v>
      </c>
      <c r="R226" s="18">
        <f t="shared" si="141"/>
        <v>7.8072097085216337</v>
      </c>
      <c r="S226" s="18">
        <f t="shared" si="142"/>
        <v>1.4423567443194421</v>
      </c>
      <c r="T226" s="18" t="str">
        <f t="shared" si="134"/>
        <v>1+0.00154858029734121i</v>
      </c>
      <c r="U226" s="18">
        <f t="shared" si="143"/>
        <v>1.0000011990497499</v>
      </c>
      <c r="V226" s="18">
        <f t="shared" si="144"/>
        <v>1.5485790594590369E-3</v>
      </c>
      <c r="W226" s="32" t="str">
        <f t="shared" si="135"/>
        <v>1-0.0733554464574046i</v>
      </c>
      <c r="X226" s="18">
        <f t="shared" si="145"/>
        <v>1.0026869010438728</v>
      </c>
      <c r="Y226" s="18">
        <f t="shared" si="146"/>
        <v>-7.3224293893122572E-2</v>
      </c>
      <c r="Z226" s="32" t="str">
        <f t="shared" si="136"/>
        <v>0.999952801966669+0.00782791360584337i</v>
      </c>
      <c r="AA226" s="18">
        <f t="shared" si="147"/>
        <v>0.99998344105910708</v>
      </c>
      <c r="AB226" s="18">
        <f t="shared" si="148"/>
        <v>7.8281231802989695E-3</v>
      </c>
      <c r="AC226" s="69" t="str">
        <f t="shared" si="149"/>
        <v>0.770810096826824-15.7388984047825i</v>
      </c>
      <c r="AD226" s="67">
        <f t="shared" si="150"/>
        <v>23.949890874161678</v>
      </c>
      <c r="AE226" s="64">
        <f t="shared" si="151"/>
        <v>-87.196188375025841</v>
      </c>
      <c r="AF226" s="32" t="str">
        <f t="shared" si="137"/>
        <v>-0.0000198412698412698</v>
      </c>
      <c r="AG226" s="32" t="str">
        <f t="shared" si="138"/>
        <v>0.000261370137990272i</v>
      </c>
      <c r="AH226" s="32">
        <f t="shared" si="152"/>
        <v>2.6137013799027201E-4</v>
      </c>
      <c r="AI226" s="32">
        <f t="shared" si="153"/>
        <v>1.5707963267948966</v>
      </c>
      <c r="AJ226" s="32" t="str">
        <f t="shared" si="139"/>
        <v>1+0.09072196002199i</v>
      </c>
      <c r="AK226" s="32">
        <f t="shared" si="154"/>
        <v>1.0041068040951777</v>
      </c>
      <c r="AL226" s="32">
        <f t="shared" si="155"/>
        <v>9.0474287043974977E-2</v>
      </c>
      <c r="AM226" s="32" t="str">
        <f t="shared" si="140"/>
        <v>1+1.96186238547553i</v>
      </c>
      <c r="AN226" s="32">
        <f t="shared" si="156"/>
        <v>2.202022710950942</v>
      </c>
      <c r="AO226" s="32">
        <f t="shared" si="157"/>
        <v>1.0994031890268507</v>
      </c>
      <c r="AP226" s="61" t="str">
        <f t="shared" si="158"/>
        <v>-0.140883475914061+0.0886937604259431i</v>
      </c>
      <c r="AQ226" s="52">
        <f t="shared" si="159"/>
        <v>-15.572892394941871</v>
      </c>
      <c r="AR226" s="64">
        <f t="shared" si="160"/>
        <v>147.80736791238712</v>
      </c>
      <c r="AS226" s="61" t="str">
        <f t="shared" si="161"/>
        <v>1.28734767877142+2.28571676038588i</v>
      </c>
      <c r="AT226" s="67">
        <f t="shared" si="162"/>
        <v>8.3769984792197949</v>
      </c>
      <c r="AU226" s="64">
        <f t="shared" si="163"/>
        <v>60.611179537361231</v>
      </c>
    </row>
    <row r="227" spans="14:47" x14ac:dyDescent="0.25">
      <c r="N227" s="11">
        <v>9</v>
      </c>
      <c r="O227" s="53">
        <f t="shared" si="164"/>
        <v>1230.2687708123824</v>
      </c>
      <c r="P227" s="51" t="str">
        <f t="shared" si="132"/>
        <v>122.692307692308</v>
      </c>
      <c r="Q227" s="18" t="str">
        <f t="shared" si="133"/>
        <v>1+7.92325683126651i</v>
      </c>
      <c r="R227" s="18">
        <f t="shared" si="141"/>
        <v>7.9861128726190334</v>
      </c>
      <c r="S227" s="18">
        <f t="shared" si="142"/>
        <v>1.4452494105997584</v>
      </c>
      <c r="T227" s="18" t="str">
        <f t="shared" si="134"/>
        <v>1+0.0015846513662533i</v>
      </c>
      <c r="U227" s="18">
        <f t="shared" si="143"/>
        <v>1.0000012555591882</v>
      </c>
      <c r="V227" s="18">
        <f t="shared" si="144"/>
        <v>1.5846500398387438E-3</v>
      </c>
      <c r="W227" s="32" t="str">
        <f t="shared" si="135"/>
        <v>1-0.0750641143054882i</v>
      </c>
      <c r="X227" s="18">
        <f t="shared" si="145"/>
        <v>1.0028133531502597</v>
      </c>
      <c r="Y227" s="18">
        <f t="shared" si="146"/>
        <v>-7.4923603085612328E-2</v>
      </c>
      <c r="Z227" s="32" t="str">
        <f t="shared" si="136"/>
        <v>0.999950577591888+0.00801024913703868i</v>
      </c>
      <c r="AA227" s="18">
        <f t="shared" si="147"/>
        <v>0.99998266070846842</v>
      </c>
      <c r="AB227" s="18">
        <f t="shared" si="148"/>
        <v>8.0104737001479038E-3</v>
      </c>
      <c r="AC227" s="69" t="str">
        <f t="shared" si="149"/>
        <v>0.680716493444122-15.3916704973076i</v>
      </c>
      <c r="AD227" s="67">
        <f t="shared" si="150"/>
        <v>23.754201499915837</v>
      </c>
      <c r="AE227" s="64">
        <f t="shared" si="151"/>
        <v>-87.467670389485875</v>
      </c>
      <c r="AF227" s="32" t="str">
        <f t="shared" si="137"/>
        <v>-0.0000198412698412698</v>
      </c>
      <c r="AG227" s="32" t="str">
        <f t="shared" si="138"/>
        <v>0.000267458230596899i</v>
      </c>
      <c r="AH227" s="32">
        <f t="shared" si="152"/>
        <v>2.6745823059689898E-4</v>
      </c>
      <c r="AI227" s="32">
        <f t="shared" si="153"/>
        <v>1.5707963267948966</v>
      </c>
      <c r="AJ227" s="32" t="str">
        <f t="shared" si="139"/>
        <v>1+0.0928351459364771i</v>
      </c>
      <c r="AK227" s="32">
        <f t="shared" si="154"/>
        <v>1.0042999374295742</v>
      </c>
      <c r="AL227" s="32">
        <f t="shared" si="155"/>
        <v>9.256982088863315E-2</v>
      </c>
      <c r="AM227" s="32" t="str">
        <f t="shared" si="140"/>
        <v>1+2.00756003087632i</v>
      </c>
      <c r="AN227" s="32">
        <f t="shared" si="156"/>
        <v>2.2428324229803995</v>
      </c>
      <c r="AO227" s="32">
        <f t="shared" si="157"/>
        <v>1.1086561642872494</v>
      </c>
      <c r="AP227" s="61" t="str">
        <f t="shared" si="158"/>
        <v>-0.140829295527925+0.087258463289775i</v>
      </c>
      <c r="AQ227" s="52">
        <f t="shared" si="159"/>
        <v>-15.615062269664751</v>
      </c>
      <c r="AR227" s="64">
        <f t="shared" si="160"/>
        <v>148.2174590976212</v>
      </c>
      <c r="AS227" s="61" t="str">
        <f t="shared" si="161"/>
        <v>1.24718869083165+2.22699638828771i</v>
      </c>
      <c r="AT227" s="67">
        <f t="shared" si="162"/>
        <v>8.1391392302510681</v>
      </c>
      <c r="AU227" s="64">
        <f t="shared" si="163"/>
        <v>60.749788708135334</v>
      </c>
    </row>
    <row r="228" spans="14:47" x14ac:dyDescent="0.25">
      <c r="N228" s="11">
        <v>10</v>
      </c>
      <c r="O228" s="53">
        <f t="shared" si="164"/>
        <v>1258.925411794168</v>
      </c>
      <c r="P228" s="51" t="str">
        <f t="shared" si="132"/>
        <v>122.692307692308</v>
      </c>
      <c r="Q228" s="18" t="str">
        <f t="shared" si="133"/>
        <v>1+8.10781319147563i</v>
      </c>
      <c r="R228" s="18">
        <f t="shared" si="141"/>
        <v>8.1692493380889193</v>
      </c>
      <c r="S228" s="18">
        <f t="shared" si="142"/>
        <v>1.4480782741516827</v>
      </c>
      <c r="T228" s="18" t="str">
        <f t="shared" si="134"/>
        <v>1+0.00162156263829513i</v>
      </c>
      <c r="U228" s="18">
        <f t="shared" si="143"/>
        <v>1.0000013147318307</v>
      </c>
      <c r="V228" s="18">
        <f t="shared" si="144"/>
        <v>1.6215612170164275E-3</v>
      </c>
      <c r="W228" s="32" t="str">
        <f t="shared" si="135"/>
        <v>1-0.0768125821405676i</v>
      </c>
      <c r="X228" s="18">
        <f t="shared" si="145"/>
        <v>1.0029457476728745</v>
      </c>
      <c r="Y228" s="18">
        <f t="shared" si="146"/>
        <v>-7.6662045528866712E-2</v>
      </c>
      <c r="Z228" s="32" t="str">
        <f t="shared" si="136"/>
        <v>0.999948248385552+0.00819683180835465i</v>
      </c>
      <c r="AA228" s="18">
        <f t="shared" si="147"/>
        <v>0.9999818435856862</v>
      </c>
      <c r="AB228" s="18">
        <f t="shared" si="148"/>
        <v>8.1970724320997723E-3</v>
      </c>
      <c r="AC228" s="69" t="str">
        <f t="shared" si="149"/>
        <v>0.594553378307533-15.0515949877597i</v>
      </c>
      <c r="AD228" s="67">
        <f t="shared" si="150"/>
        <v>23.558421622828384</v>
      </c>
      <c r="AE228" s="64">
        <f t="shared" si="151"/>
        <v>-87.737934211888614</v>
      </c>
      <c r="AF228" s="32" t="str">
        <f t="shared" si="137"/>
        <v>-0.0000198412698412698</v>
      </c>
      <c r="AG228" s="32" t="str">
        <f t="shared" si="138"/>
        <v>0.000273688133097616i</v>
      </c>
      <c r="AH228" s="32">
        <f t="shared" si="152"/>
        <v>2.73688133097616E-4</v>
      </c>
      <c r="AI228" s="32">
        <f t="shared" si="153"/>
        <v>1.5707963267948966</v>
      </c>
      <c r="AJ228" s="32" t="str">
        <f t="shared" si="139"/>
        <v>1+0.0949975542741582i</v>
      </c>
      <c r="AK228" s="32">
        <f t="shared" si="154"/>
        <v>1.0045021330579997</v>
      </c>
      <c r="AL228" s="32">
        <f t="shared" si="155"/>
        <v>9.471332213732743E-2</v>
      </c>
      <c r="AM228" s="32" t="str">
        <f t="shared" si="140"/>
        <v>1+2.05432211117867i</v>
      </c>
      <c r="AN228" s="32">
        <f t="shared" si="156"/>
        <v>2.2847843085240207</v>
      </c>
      <c r="AO228" s="32">
        <f t="shared" si="157"/>
        <v>1.1177816884176961</v>
      </c>
      <c r="AP228" s="61" t="str">
        <f t="shared" si="158"/>
        <v>-0.140772606346074+0.0858689617630409i</v>
      </c>
      <c r="AQ228" s="52">
        <f t="shared" si="159"/>
        <v>-15.655843189057045</v>
      </c>
      <c r="AR228" s="64">
        <f t="shared" si="160"/>
        <v>148.61749954120938</v>
      </c>
      <c r="AS228" s="61" t="str">
        <f t="shared" si="161"/>
        <v>1.2087680058005+2.16990593740041i</v>
      </c>
      <c r="AT228" s="67">
        <f t="shared" si="162"/>
        <v>7.9025784337713283</v>
      </c>
      <c r="AU228" s="64">
        <f t="shared" si="163"/>
        <v>60.879565329320776</v>
      </c>
    </row>
    <row r="229" spans="14:47" x14ac:dyDescent="0.25">
      <c r="N229" s="11">
        <v>11</v>
      </c>
      <c r="O229" s="53">
        <f t="shared" si="164"/>
        <v>1288.2495516931347</v>
      </c>
      <c r="P229" s="51" t="str">
        <f t="shared" si="132"/>
        <v>122.692307692308</v>
      </c>
      <c r="Q229" s="18" t="str">
        <f t="shared" si="133"/>
        <v>1+8.29666842155846i</v>
      </c>
      <c r="R229" s="18">
        <f t="shared" si="141"/>
        <v>8.3567162747867272</v>
      </c>
      <c r="S229" s="18">
        <f t="shared" si="142"/>
        <v>1.4508446536761799</v>
      </c>
      <c r="T229" s="18" t="str">
        <f t="shared" si="134"/>
        <v>1+0.00165933368431169i</v>
      </c>
      <c r="U229" s="18">
        <f t="shared" si="143"/>
        <v>1.0000013766931903</v>
      </c>
      <c r="V229" s="18">
        <f t="shared" si="144"/>
        <v>1.6593321613842353E-3</v>
      </c>
      <c r="W229" s="32" t="str">
        <f t="shared" si="135"/>
        <v>1-0.0786017770234326i</v>
      </c>
      <c r="X229" s="18">
        <f t="shared" si="145"/>
        <v>1.0030843630279767</v>
      </c>
      <c r="Y229" s="18">
        <f t="shared" si="146"/>
        <v>-7.8440500913451353E-2</v>
      </c>
      <c r="Z229" s="32" t="str">
        <f t="shared" si="136"/>
        <v>0.999945809407104+0.00838776054839328i</v>
      </c>
      <c r="AA229" s="18">
        <f t="shared" si="147"/>
        <v>0.9999809879581939</v>
      </c>
      <c r="AB229" s="18">
        <f t="shared" si="148"/>
        <v>8.3880183814244915E-3</v>
      </c>
      <c r="AC229" s="69" t="str">
        <f t="shared" si="149"/>
        <v>0.512154553483539-14.7185568777208i</v>
      </c>
      <c r="AD229" s="67">
        <f t="shared" si="150"/>
        <v>23.3625598563765</v>
      </c>
      <c r="AE229" s="64">
        <f t="shared" si="151"/>
        <v>-88.007110352073667</v>
      </c>
      <c r="AF229" s="32" t="str">
        <f t="shared" si="137"/>
        <v>-0.0000198412698412698</v>
      </c>
      <c r="AG229" s="32" t="str">
        <f t="shared" si="138"/>
        <v>0.000280063148669193i</v>
      </c>
      <c r="AH229" s="32">
        <f t="shared" si="152"/>
        <v>2.80063148669193E-4</v>
      </c>
      <c r="AI229" s="32">
        <f t="shared" si="153"/>
        <v>1.5707963267948966</v>
      </c>
      <c r="AJ229" s="32" t="str">
        <f t="shared" si="139"/>
        <v>1+0.0972103315725566i</v>
      </c>
      <c r="AK229" s="32">
        <f t="shared" si="154"/>
        <v>1.0047138142597853</v>
      </c>
      <c r="AL229" s="32">
        <f t="shared" si="155"/>
        <v>9.6905848471134315E-2</v>
      </c>
      <c r="AM229" s="32" t="str">
        <f t="shared" si="140"/>
        <v>1+2.10217342025654i</v>
      </c>
      <c r="AN229" s="32">
        <f t="shared" si="156"/>
        <v>2.3279031528036298</v>
      </c>
      <c r="AO229" s="32">
        <f t="shared" si="157"/>
        <v>1.1267785194936264</v>
      </c>
      <c r="AP229" s="61" t="str">
        <f t="shared" si="158"/>
        <v>-0.140713294380957+0.0845244861091185i</v>
      </c>
      <c r="AQ229" s="52">
        <f t="shared" si="159"/>
        <v>-15.695279374032252</v>
      </c>
      <c r="AR229" s="64">
        <f t="shared" si="160"/>
        <v>149.00735748545389</v>
      </c>
      <c r="AS229" s="61" t="str">
        <f t="shared" si="161"/>
        <v>1.17201150190431+2.11438622723923i</v>
      </c>
      <c r="AT229" s="67">
        <f t="shared" si="162"/>
        <v>7.667280482344264</v>
      </c>
      <c r="AU229" s="64">
        <f t="shared" si="163"/>
        <v>61.000247133380178</v>
      </c>
    </row>
    <row r="230" spans="14:47" x14ac:dyDescent="0.25">
      <c r="N230" s="11">
        <v>12</v>
      </c>
      <c r="O230" s="53">
        <f t="shared" si="164"/>
        <v>1318.2567385564089</v>
      </c>
      <c r="P230" s="51" t="str">
        <f t="shared" si="132"/>
        <v>122.692307692308</v>
      </c>
      <c r="Q230" s="18" t="str">
        <f t="shared" si="133"/>
        <v>1+8.48992265505781i</v>
      </c>
      <c r="R230" s="18">
        <f t="shared" si="141"/>
        <v>8.5486131441809832</v>
      </c>
      <c r="S230" s="18">
        <f t="shared" si="142"/>
        <v>1.4535498464878513</v>
      </c>
      <c r="T230" s="18" t="str">
        <f t="shared" si="134"/>
        <v>1+0.00169798453101156i</v>
      </c>
      <c r="U230" s="18">
        <f t="shared" si="143"/>
        <v>1.0000014415746947</v>
      </c>
      <c r="V230" s="18">
        <f t="shared" si="144"/>
        <v>1.6979828991655187E-3</v>
      </c>
      <c r="W230" s="32" t="str">
        <f t="shared" si="135"/>
        <v>1-0.0804326476088931i</v>
      </c>
      <c r="X230" s="18">
        <f t="shared" si="145"/>
        <v>1.0032294905959336</v>
      </c>
      <c r="Y230" s="18">
        <f t="shared" si="146"/>
        <v>-8.0259867174148444E-2</v>
      </c>
      <c r="Z230" s="32" t="str">
        <f t="shared" si="136"/>
        <v>0.999943255483143+0.00858313659009983i</v>
      </c>
      <c r="AA230" s="18">
        <f t="shared" si="147"/>
        <v>0.99998009201181126</v>
      </c>
      <c r="AB230" s="18">
        <f t="shared" si="148"/>
        <v>8.5834128632185647E-3</v>
      </c>
      <c r="AC230" s="69" t="str">
        <f t="shared" si="149"/>
        <v>0.433360389826682-14.3924407528517i</v>
      </c>
      <c r="AD230" s="67">
        <f t="shared" si="150"/>
        <v>23.166624661916984</v>
      </c>
      <c r="AE230" s="64">
        <f t="shared" si="151"/>
        <v>-88.275329246075003</v>
      </c>
      <c r="AF230" s="32" t="str">
        <f t="shared" si="137"/>
        <v>-0.0000198412698412698</v>
      </c>
      <c r="AG230" s="32" t="str">
        <f t="shared" si="138"/>
        <v>0.000286586657429269i</v>
      </c>
      <c r="AH230" s="32">
        <f t="shared" si="152"/>
        <v>2.8658665742926898E-4</v>
      </c>
      <c r="AI230" s="32">
        <f t="shared" si="153"/>
        <v>1.5707963267948966</v>
      </c>
      <c r="AJ230" s="32" t="str">
        <f t="shared" si="139"/>
        <v>1+0.0994746510754858i</v>
      </c>
      <c r="AK230" s="32">
        <f t="shared" si="154"/>
        <v>1.0049354238987644</v>
      </c>
      <c r="AL230" s="32">
        <f t="shared" si="155"/>
        <v>9.9148478031320167E-2</v>
      </c>
      <c r="AM230" s="32" t="str">
        <f t="shared" si="140"/>
        <v>1+2.15113932950738i</v>
      </c>
      <c r="AN230" s="32">
        <f t="shared" si="156"/>
        <v>2.3722142430550961</v>
      </c>
      <c r="AO230" s="32">
        <f t="shared" si="157"/>
        <v>1.1356456009241411</v>
      </c>
      <c r="AP230" s="61" t="str">
        <f t="shared" si="158"/>
        <v>-0.140651240674177+0.0832242881773401i</v>
      </c>
      <c r="AQ230" s="52">
        <f t="shared" si="159"/>
        <v>-15.733414996118606</v>
      </c>
      <c r="AR230" s="64">
        <f t="shared" si="160"/>
        <v>149.38691061921128</v>
      </c>
      <c r="AS230" s="61" t="str">
        <f t="shared" si="161"/>
        <v>1.13684796030246+2.06038075818576i</v>
      </c>
      <c r="AT230" s="67">
        <f t="shared" si="162"/>
        <v>7.4332096657983922</v>
      </c>
      <c r="AU230" s="64">
        <f t="shared" si="163"/>
        <v>61.111581373136204</v>
      </c>
    </row>
    <row r="231" spans="14:47" x14ac:dyDescent="0.25">
      <c r="N231" s="11">
        <v>13</v>
      </c>
      <c r="O231" s="53">
        <f t="shared" si="164"/>
        <v>1348.9628825916541</v>
      </c>
      <c r="P231" s="51" t="str">
        <f t="shared" si="132"/>
        <v>122.692307692308</v>
      </c>
      <c r="Q231" s="18" t="str">
        <f t="shared" si="133"/>
        <v>1+8.68767835792626i</v>
      </c>
      <c r="R231" s="18">
        <f t="shared" si="141"/>
        <v>8.7450417523749024</v>
      </c>
      <c r="S231" s="18">
        <f t="shared" si="142"/>
        <v>1.4561951284562635</v>
      </c>
      <c r="T231" s="18" t="str">
        <f t="shared" si="134"/>
        <v>1+0.00173753567158525i</v>
      </c>
      <c r="U231" s="18">
        <f t="shared" si="143"/>
        <v>1.0000015095139656</v>
      </c>
      <c r="V231" s="18">
        <f t="shared" si="144"/>
        <v>1.7375339230308563E-3</v>
      </c>
      <c r="W231" s="32" t="str">
        <f t="shared" si="135"/>
        <v>1-0.0823061646487675i</v>
      </c>
      <c r="X231" s="18">
        <f t="shared" si="145"/>
        <v>1.0033814353171928</v>
      </c>
      <c r="Y231" s="18">
        <f t="shared" si="146"/>
        <v>-8.2121060757969933E-2</v>
      </c>
      <c r="Z231" s="32" t="str">
        <f t="shared" si="136"/>
        <v>0.999940581196454+0.00878306352443768i</v>
      </c>
      <c r="AA231" s="18">
        <f t="shared" si="147"/>
        <v>0.99997915384690705</v>
      </c>
      <c r="AB231" s="18">
        <f t="shared" si="148"/>
        <v>8.7833595564720708E-3</v>
      </c>
      <c r="AC231" s="69" t="str">
        <f t="shared" si="149"/>
        <v>0.358017607685374-14.0731309761485i</v>
      </c>
      <c r="AD231" s="67">
        <f t="shared" si="150"/>
        <v>22.970624364066769</v>
      </c>
      <c r="AE231" s="64">
        <f t="shared" si="151"/>
        <v>-88.542721270605028</v>
      </c>
      <c r="AF231" s="32" t="str">
        <f t="shared" si="137"/>
        <v>-0.0000198412698412698</v>
      </c>
      <c r="AG231" s="32" t="str">
        <f t="shared" si="138"/>
        <v>0.000293262118228535i</v>
      </c>
      <c r="AH231" s="32">
        <f t="shared" si="152"/>
        <v>2.9326211822853501E-4</v>
      </c>
      <c r="AI231" s="32">
        <f t="shared" si="153"/>
        <v>1.5707963267948966</v>
      </c>
      <c r="AJ231" s="32" t="str">
        <f t="shared" si="139"/>
        <v>1+0.101791713355118i</v>
      </c>
      <c r="AK231" s="32">
        <f t="shared" si="154"/>
        <v>1.0051674253117091</v>
      </c>
      <c r="AL231" s="32">
        <f t="shared" si="155"/>
        <v>0.10144230960777299</v>
      </c>
      <c r="AM231" s="32" t="str">
        <f t="shared" si="140"/>
        <v>1+2.20124580130442i</v>
      </c>
      <c r="AN231" s="32">
        <f t="shared" si="156"/>
        <v>2.4177433854237584</v>
      </c>
      <c r="AO231" s="32">
        <f t="shared" si="157"/>
        <v>1.1443820557389803</v>
      </c>
      <c r="AP231" s="61" t="str">
        <f t="shared" si="158"/>
        <v>-0.140586321099678+0.0819676408514504i</v>
      </c>
      <c r="AQ231" s="52">
        <f t="shared" si="159"/>
        <v>-15.770294113309379</v>
      </c>
      <c r="AR231" s="64">
        <f t="shared" si="160"/>
        <v>149.75604573976375</v>
      </c>
      <c r="AS231" s="61" t="str">
        <f t="shared" si="161"/>
        <v>1.10320896715497+2.00783556897589i</v>
      </c>
      <c r="AT231" s="67">
        <f t="shared" si="162"/>
        <v>7.2003302507573972</v>
      </c>
      <c r="AU231" s="64">
        <f t="shared" si="163"/>
        <v>61.213324469158685</v>
      </c>
    </row>
    <row r="232" spans="14:47" x14ac:dyDescent="0.25">
      <c r="N232" s="11">
        <v>14</v>
      </c>
      <c r="O232" s="53">
        <f t="shared" si="164"/>
        <v>1380.3842646028863</v>
      </c>
      <c r="P232" s="51" t="str">
        <f t="shared" si="132"/>
        <v>122.692307692308</v>
      </c>
      <c r="Q232" s="18" t="str">
        <f t="shared" si="133"/>
        <v>1+8.89004038285512i</v>
      </c>
      <c r="R232" s="18">
        <f t="shared" si="141"/>
        <v>8.9461063043535773</v>
      </c>
      <c r="S232" s="18">
        <f t="shared" si="142"/>
        <v>1.4587817539818051</v>
      </c>
      <c r="T232" s="18" t="str">
        <f t="shared" si="134"/>
        <v>1+0.00177800807657103i</v>
      </c>
      <c r="U232" s="18">
        <f t="shared" si="143"/>
        <v>1.0000015806551108</v>
      </c>
      <c r="V232" s="18">
        <f t="shared" si="144"/>
        <v>1.7780062029614009E-3</v>
      </c>
      <c r="W232" s="32" t="str">
        <f t="shared" si="135"/>
        <v>1-0.0842233215065898i</v>
      </c>
      <c r="X232" s="18">
        <f t="shared" si="145"/>
        <v>1.0035405163149131</v>
      </c>
      <c r="Y232" s="18">
        <f t="shared" si="146"/>
        <v>-8.4025016887637402E-2</v>
      </c>
      <c r="Z232" s="32" t="str">
        <f t="shared" si="136"/>
        <v>0.999937780874515+0.00898764735531378i</v>
      </c>
      <c r="AA232" s="18">
        <f t="shared" si="147"/>
        <v>0.99997817147437429</v>
      </c>
      <c r="AB232" s="18">
        <f t="shared" si="148"/>
        <v>8.9879645594143649E-3</v>
      </c>
      <c r="AC232" s="69" t="str">
        <f t="shared" si="149"/>
        <v>0.285979061238669-13.760511866425i</v>
      </c>
      <c r="AD232" s="67">
        <f t="shared" si="150"/>
        <v>22.774567165942202</v>
      </c>
      <c r="AE232" s="64">
        <f t="shared" si="151"/>
        <v>-88.809416759315909</v>
      </c>
      <c r="AF232" s="32" t="str">
        <f t="shared" si="137"/>
        <v>-0.0000198412698412698</v>
      </c>
      <c r="AG232" s="32" t="str">
        <f t="shared" si="138"/>
        <v>0.000300093070484671i</v>
      </c>
      <c r="AH232" s="32">
        <f t="shared" si="152"/>
        <v>3.0009307048467103E-4</v>
      </c>
      <c r="AI232" s="32">
        <f t="shared" si="153"/>
        <v>1.5707963267948966</v>
      </c>
      <c r="AJ232" s="32" t="str">
        <f t="shared" si="139"/>
        <v>1+0.104162746948543i</v>
      </c>
      <c r="AK232" s="32">
        <f t="shared" si="154"/>
        <v>1.0054103032353836</v>
      </c>
      <c r="AL232" s="32">
        <f t="shared" si="155"/>
        <v>0.10378846281247232</v>
      </c>
      <c r="AM232" s="32" t="str">
        <f t="shared" si="140"/>
        <v>1+2.25251940276225i</v>
      </c>
      <c r="AN232" s="32">
        <f t="shared" si="156"/>
        <v>2.464516922202078</v>
      </c>
      <c r="AO232" s="32">
        <f t="shared" si="157"/>
        <v>1.1529871805700238</v>
      </c>
      <c r="AP232" s="61" t="str">
        <f t="shared" si="158"/>
        <v>-0.140518406161074+0.0807538374991671i</v>
      </c>
      <c r="AQ232" s="52">
        <f t="shared" si="159"/>
        <v>-15.805960611154347</v>
      </c>
      <c r="AR232" s="64">
        <f t="shared" si="160"/>
        <v>150.11465839804532</v>
      </c>
      <c r="AS232" s="61" t="str">
        <f t="shared" si="161"/>
        <v>1.07102881728595+1.95669910207002i</v>
      </c>
      <c r="AT232" s="67">
        <f t="shared" si="162"/>
        <v>6.9686065547878666</v>
      </c>
      <c r="AU232" s="64">
        <f t="shared" si="163"/>
        <v>61.305241638729377</v>
      </c>
    </row>
    <row r="233" spans="14:47" x14ac:dyDescent="0.25">
      <c r="N233" s="11">
        <v>15</v>
      </c>
      <c r="O233" s="53">
        <f t="shared" si="164"/>
        <v>1412.5375446227545</v>
      </c>
      <c r="P233" s="51" t="str">
        <f t="shared" si="132"/>
        <v>122.692307692308</v>
      </c>
      <c r="Q233" s="18" t="str">
        <f t="shared" si="133"/>
        <v>1+9.09711602486855i</v>
      </c>
      <c r="R233" s="18">
        <f t="shared" si="141"/>
        <v>9.1519134594859555</v>
      </c>
      <c r="S233" s="18">
        <f t="shared" si="142"/>
        <v>1.461310956003395</v>
      </c>
      <c r="T233" s="18" t="str">
        <f t="shared" si="134"/>
        <v>1+0.00181942320497371i</v>
      </c>
      <c r="U233" s="18">
        <f t="shared" si="143"/>
        <v>1.0000016551490296</v>
      </c>
      <c r="V233" s="18">
        <f t="shared" si="144"/>
        <v>1.8194211973650012E-3</v>
      </c>
      <c r="W233" s="32" t="str">
        <f t="shared" si="135"/>
        <v>1-0.0861851346843022i</v>
      </c>
      <c r="X233" s="18">
        <f t="shared" si="145"/>
        <v>1.0037070675453827</v>
      </c>
      <c r="Y233" s="18">
        <f t="shared" si="146"/>
        <v>-8.5972689819699272E-2</v>
      </c>
      <c r="Z233" s="32" t="str">
        <f t="shared" si="136"/>
        <v>0.99993484857747+0.00919699655578324i</v>
      </c>
      <c r="AA233" s="18">
        <f t="shared" si="147"/>
        <v>0.99997714281142192</v>
      </c>
      <c r="AB233" s="18">
        <f t="shared" si="148"/>
        <v>9.1973364461688852E-3</v>
      </c>
      <c r="AC233" s="69" t="str">
        <f t="shared" si="149"/>
        <v>0.21710352679023-13.4544678628545i</v>
      </c>
      <c r="AD233" s="67">
        <f t="shared" si="150"/>
        <v>22.57846116426991</v>
      </c>
      <c r="AE233" s="64">
        <f t="shared" si="151"/>
        <v>-89.075546020639891</v>
      </c>
      <c r="AF233" s="32" t="str">
        <f t="shared" si="137"/>
        <v>-0.0000198412698412698</v>
      </c>
      <c r="AG233" s="32" t="str">
        <f t="shared" si="138"/>
        <v>0.000307083136058977i</v>
      </c>
      <c r="AH233" s="32">
        <f t="shared" si="152"/>
        <v>3.0708313605897701E-4</v>
      </c>
      <c r="AI233" s="32">
        <f t="shared" si="153"/>
        <v>1.5707963267948966</v>
      </c>
      <c r="AJ233" s="32" t="str">
        <f t="shared" si="139"/>
        <v>1+0.106589009009158i</v>
      </c>
      <c r="AK233" s="32">
        <f t="shared" si="154"/>
        <v>1.0056645647737392</v>
      </c>
      <c r="AL233" s="32">
        <f t="shared" si="155"/>
        <v>0.10618807823641585</v>
      </c>
      <c r="AM233" s="32" t="str">
        <f t="shared" si="140"/>
        <v>1+2.30498731982304i</v>
      </c>
      <c r="AN233" s="32">
        <f t="shared" si="156"/>
        <v>2.5125617493994059</v>
      </c>
      <c r="AO233" s="32">
        <f t="shared" si="157"/>
        <v>1.1614604393778922</v>
      </c>
      <c r="AP233" s="61" t="str">
        <f t="shared" si="158"/>
        <v>-0.140447360783179+0.0795821914219681i</v>
      </c>
      <c r="AQ233" s="52">
        <f t="shared" si="159"/>
        <v>-15.840458149103277</v>
      </c>
      <c r="AR233" s="64">
        <f t="shared" si="160"/>
        <v>150.4626525302117</v>
      </c>
      <c r="AS233" s="61" t="str">
        <f t="shared" si="161"/>
        <v>1.040244419588+1.90692207650742i</v>
      </c>
      <c r="AT233" s="67">
        <f t="shared" si="162"/>
        <v>6.7380030151666448</v>
      </c>
      <c r="AU233" s="64">
        <f t="shared" si="163"/>
        <v>61.387106509571787</v>
      </c>
    </row>
    <row r="234" spans="14:47" x14ac:dyDescent="0.25">
      <c r="N234" s="11">
        <v>16</v>
      </c>
      <c r="O234" s="53">
        <f t="shared" si="164"/>
        <v>1445.4397707459289</v>
      </c>
      <c r="P234" s="51" t="str">
        <f t="shared" si="132"/>
        <v>122.692307692308</v>
      </c>
      <c r="Q234" s="18" t="str">
        <f t="shared" si="133"/>
        <v>1+9.30901507821295i</v>
      </c>
      <c r="R234" s="18">
        <f t="shared" si="141"/>
        <v>9.3625723883127367</v>
      </c>
      <c r="S234" s="18">
        <f t="shared" si="142"/>
        <v>1.4637839460355409</v>
      </c>
      <c r="T234" s="18" t="str">
        <f t="shared" si="134"/>
        <v>1+0.00186180301564259i</v>
      </c>
      <c r="U234" s="18">
        <f t="shared" si="143"/>
        <v>1.0000017331537325</v>
      </c>
      <c r="V234" s="18">
        <f t="shared" si="144"/>
        <v>1.8618008644513027E-3</v>
      </c>
      <c r="W234" s="32" t="str">
        <f t="shared" si="135"/>
        <v>1-0.0881926443612195i</v>
      </c>
      <c r="X234" s="18">
        <f t="shared" si="145"/>
        <v>1.0038814384773855</v>
      </c>
      <c r="Y234" s="18">
        <f t="shared" si="146"/>
        <v>-8.7965053096404844E-2</v>
      </c>
      <c r="Z234" s="32" t="str">
        <f t="shared" si="136"/>
        <v>0.999931778085523+0.00941122212556323i</v>
      </c>
      <c r="AA234" s="18">
        <f t="shared" si="147"/>
        <v>0.99997606567716024</v>
      </c>
      <c r="AB234" s="18">
        <f t="shared" si="148"/>
        <v>9.4115863247495966E-3</v>
      </c>
      <c r="AC234" s="69" t="str">
        <f t="shared" si="149"/>
        <v>0.151255495295449-13.1548836763752i</v>
      </c>
      <c r="AD234" s="67">
        <f t="shared" si="150"/>
        <v>22.382314364385074</v>
      </c>
      <c r="AE234" s="64">
        <f t="shared" si="151"/>
        <v>-89.341239357014445</v>
      </c>
      <c r="AF234" s="32" t="str">
        <f t="shared" si="137"/>
        <v>-0.0000198412698412698</v>
      </c>
      <c r="AG234" s="32" t="str">
        <f t="shared" si="138"/>
        <v>0.000314236021176749i</v>
      </c>
      <c r="AH234" s="32">
        <f t="shared" si="152"/>
        <v>3.1423602117674901E-4</v>
      </c>
      <c r="AI234" s="32">
        <f t="shared" si="153"/>
        <v>1.5707963267948966</v>
      </c>
      <c r="AJ234" s="32" t="str">
        <f t="shared" si="139"/>
        <v>1+0.109071785973221i</v>
      </c>
      <c r="AK234" s="32">
        <f t="shared" si="154"/>
        <v>1.0059307404068076</v>
      </c>
      <c r="AL234" s="32">
        <f t="shared" si="155"/>
        <v>0.1086423175882979</v>
      </c>
      <c r="AM234" s="32" t="str">
        <f t="shared" si="140"/>
        <v>1+2.35867737167091i</v>
      </c>
      <c r="AN234" s="32">
        <f t="shared" si="156"/>
        <v>2.561905334635219</v>
      </c>
      <c r="AO234" s="32">
        <f t="shared" si="157"/>
        <v>1.169801456972088</v>
      </c>
      <c r="AP234" s="61" t="str">
        <f t="shared" si="158"/>
        <v>-0.140373044097764+0.0784520353041691i</v>
      </c>
      <c r="AQ234" s="52">
        <f t="shared" si="159"/>
        <v>-15.873830112080947</v>
      </c>
      <c r="AR234" s="64">
        <f t="shared" si="160"/>
        <v>150.79994007842586</v>
      </c>
      <c r="AS234" s="61" t="str">
        <f t="shared" si="161"/>
        <v>1.01079520429009+1.85845736786164i</v>
      </c>
      <c r="AT234" s="67">
        <f t="shared" si="162"/>
        <v>6.508484252304136</v>
      </c>
      <c r="AU234" s="64">
        <f t="shared" si="163"/>
        <v>61.458700721411361</v>
      </c>
    </row>
    <row r="235" spans="14:47" x14ac:dyDescent="0.25">
      <c r="N235" s="11">
        <v>17</v>
      </c>
      <c r="O235" s="53">
        <f t="shared" si="164"/>
        <v>1479.1083881682086</v>
      </c>
      <c r="P235" s="51" t="str">
        <f t="shared" si="132"/>
        <v>122.692307692308</v>
      </c>
      <c r="Q235" s="18" t="str">
        <f t="shared" si="133"/>
        <v>1+9.52584989457118i</v>
      </c>
      <c r="R235" s="18">
        <f t="shared" si="141"/>
        <v>9.5781948306505935</v>
      </c>
      <c r="S235" s="18">
        <f t="shared" si="142"/>
        <v>1.4662019142323639</v>
      </c>
      <c r="T235" s="18" t="str">
        <f t="shared" si="134"/>
        <v>1+0.00190516997891424i</v>
      </c>
      <c r="U235" s="18">
        <f t="shared" si="143"/>
        <v>1.0000018148346774</v>
      </c>
      <c r="V235" s="18">
        <f t="shared" si="144"/>
        <v>1.9051676738714722E-3</v>
      </c>
      <c r="W235" s="32" t="str">
        <f t="shared" si="135"/>
        <v>1-0.0902469149455447i</v>
      </c>
      <c r="X235" s="18">
        <f t="shared" si="145"/>
        <v>1.00406399480172</v>
      </c>
      <c r="Y235" s="18">
        <f t="shared" si="146"/>
        <v>-9.0003099790373228E-2</v>
      </c>
      <c r="Z235" s="32" t="str">
        <f t="shared" si="136"/>
        <v>0.999928562885749+0.00963043764988643i</v>
      </c>
      <c r="AA235" s="18">
        <f t="shared" si="147"/>
        <v>0.99997493778798663</v>
      </c>
      <c r="AB235" s="18">
        <f t="shared" si="148"/>
        <v>9.6308278964313803E-3</v>
      </c>
      <c r="AC235" s="69" t="str">
        <f t="shared" si="149"/>
        <v>0.0883049693510383-12.861644428725i</v>
      </c>
      <c r="AD235" s="67">
        <f t="shared" si="150"/>
        <v>22.186134695130374</v>
      </c>
      <c r="AE235" s="64">
        <f t="shared" si="151"/>
        <v>-89.606627085304709</v>
      </c>
      <c r="AF235" s="32" t="str">
        <f t="shared" si="137"/>
        <v>-0.0000198412698412698</v>
      </c>
      <c r="AG235" s="32" t="str">
        <f t="shared" si="138"/>
        <v>0.000321555518392354i</v>
      </c>
      <c r="AH235" s="32">
        <f t="shared" si="152"/>
        <v>3.2155551839235401E-4</v>
      </c>
      <c r="AI235" s="32">
        <f t="shared" si="153"/>
        <v>1.5707963267948966</v>
      </c>
      <c r="AJ235" s="32" t="str">
        <f t="shared" si="139"/>
        <v>1+0.111612394241944i</v>
      </c>
      <c r="AK235" s="32">
        <f t="shared" si="154"/>
        <v>1.0062093850429041</v>
      </c>
      <c r="AL235" s="32">
        <f t="shared" si="155"/>
        <v>0.11115236381315606</v>
      </c>
      <c r="AM235" s="32" t="str">
        <f t="shared" si="140"/>
        <v>1+2.41361802548203i</v>
      </c>
      <c r="AN235" s="32">
        <f t="shared" si="156"/>
        <v>2.6125757353485031</v>
      </c>
      <c r="AO235" s="32">
        <f t="shared" si="157"/>
        <v>1.1780100123707138</v>
      </c>
      <c r="AP235" s="61" t="str">
        <f t="shared" si="158"/>
        <v>-0.14029530922365+0.0773627206603594i</v>
      </c>
      <c r="AQ235" s="52">
        <f t="shared" si="159"/>
        <v>-15.906119567237855</v>
      </c>
      <c r="AR235" s="64">
        <f t="shared" si="160"/>
        <v>151.12644060359924</v>
      </c>
      <c r="AS235" s="61" t="str">
        <f t="shared" si="161"/>
        <v>0.982623032191231+1.81125989492943i</v>
      </c>
      <c r="AT235" s="67">
        <f t="shared" si="162"/>
        <v>6.2800151278924998</v>
      </c>
      <c r="AU235" s="64">
        <f t="shared" si="163"/>
        <v>61.519813518294491</v>
      </c>
    </row>
    <row r="236" spans="14:47" x14ac:dyDescent="0.25">
      <c r="N236" s="11">
        <v>18</v>
      </c>
      <c r="O236" s="53">
        <f t="shared" si="164"/>
        <v>1513.5612484362093</v>
      </c>
      <c r="P236" s="51" t="str">
        <f t="shared" si="132"/>
        <v>122.692307692308</v>
      </c>
      <c r="Q236" s="18" t="str">
        <f t="shared" si="133"/>
        <v>1+9.74773544263305i</v>
      </c>
      <c r="R236" s="18">
        <f t="shared" si="141"/>
        <v>9.7988951550450096</v>
      </c>
      <c r="S236" s="18">
        <f t="shared" si="142"/>
        <v>1.4685660294763778</v>
      </c>
      <c r="T236" s="18" t="str">
        <f t="shared" si="134"/>
        <v>1+0.00194954708852661i</v>
      </c>
      <c r="U236" s="18">
        <f t="shared" si="143"/>
        <v>1.0000019003651195</v>
      </c>
      <c r="V236" s="18">
        <f t="shared" si="144"/>
        <v>1.9495446186290383E-3</v>
      </c>
      <c r="W236" s="32" t="str">
        <f t="shared" si="135"/>
        <v>1-0.0923490356387331i</v>
      </c>
      <c r="X236" s="18">
        <f t="shared" si="145"/>
        <v>1.0042551191721176</v>
      </c>
      <c r="Y236" s="18">
        <f t="shared" si="146"/>
        <v>-9.2087842741033682E-2</v>
      </c>
      <c r="Z236" s="32" t="str">
        <f t="shared" si="136"/>
        <v>0.999925196158277+0.00985475935972552i</v>
      </c>
      <c r="AA236" s="18">
        <f t="shared" si="147"/>
        <v>0.99997375675274947</v>
      </c>
      <c r="AB236" s="18">
        <f t="shared" si="148"/>
        <v>9.8551775165285228E-3</v>
      </c>
      <c r="AC236" s="69" t="str">
        <f t="shared" si="149"/>
        <v>0.0281272648356485-12.5746357798429i</v>
      </c>
      <c r="AD236" s="67">
        <f t="shared" si="150"/>
        <v>21.989930023671867</v>
      </c>
      <c r="AE236" s="64">
        <f t="shared" si="151"/>
        <v>-89.871839558236374</v>
      </c>
      <c r="AF236" s="32" t="str">
        <f t="shared" si="137"/>
        <v>-0.0000198412698412698</v>
      </c>
      <c r="AG236" s="32" t="str">
        <f t="shared" si="138"/>
        <v>0.000329045508600101i</v>
      </c>
      <c r="AH236" s="32">
        <f t="shared" si="152"/>
        <v>3.2904550860010098E-4</v>
      </c>
      <c r="AI236" s="32">
        <f t="shared" si="153"/>
        <v>1.5707963267948966</v>
      </c>
      <c r="AJ236" s="32" t="str">
        <f t="shared" si="139"/>
        <v>1+0.114212180879458i</v>
      </c>
      <c r="AK236" s="32">
        <f t="shared" si="154"/>
        <v>1.0065010791157862</v>
      </c>
      <c r="AL236" s="32">
        <f t="shared" si="155"/>
        <v>0.11371942118903063</v>
      </c>
      <c r="AM236" s="32" t="str">
        <f t="shared" si="140"/>
        <v>1+2.46983841151827i</v>
      </c>
      <c r="AN236" s="32">
        <f t="shared" si="156"/>
        <v>2.6646016173175102</v>
      </c>
      <c r="AO236" s="32">
        <f t="shared" si="157"/>
        <v>1.1860860320432225</v>
      </c>
      <c r="AP236" s="61" t="str">
        <f t="shared" si="158"/>
        <v>-0.140214003041252+0.0763136172802016i</v>
      </c>
      <c r="AQ236" s="52">
        <f t="shared" si="159"/>
        <v>-15.937369225794729</v>
      </c>
      <c r="AR236" s="64">
        <f t="shared" si="160"/>
        <v>151.44208089269324</v>
      </c>
      <c r="AS236" s="61" t="str">
        <f t="shared" si="161"/>
        <v>0.955672105943653+1.76528651280134i</v>
      </c>
      <c r="AT236" s="67">
        <f t="shared" si="162"/>
        <v>6.0525607978771543</v>
      </c>
      <c r="AU236" s="64">
        <f t="shared" si="163"/>
        <v>61.570241334456952</v>
      </c>
    </row>
    <row r="237" spans="14:47" x14ac:dyDescent="0.25">
      <c r="N237" s="11">
        <v>19</v>
      </c>
      <c r="O237" s="53">
        <f t="shared" si="164"/>
        <v>1548.8166189124822</v>
      </c>
      <c r="P237" s="51" t="str">
        <f t="shared" si="132"/>
        <v>122.692307692308</v>
      </c>
      <c r="Q237" s="18" t="str">
        <f t="shared" si="133"/>
        <v>1+9.97478936905313i</v>
      </c>
      <c r="R237" s="18">
        <f t="shared" si="141"/>
        <v>10.02479041960356</v>
      </c>
      <c r="S237" s="18">
        <f t="shared" si="142"/>
        <v>1.470877439489912</v>
      </c>
      <c r="T237" s="18" t="str">
        <f t="shared" si="134"/>
        <v>1+0.00199495787381063i</v>
      </c>
      <c r="U237" s="18">
        <f t="shared" si="143"/>
        <v>1.0000019899264792</v>
      </c>
      <c r="V237" s="18">
        <f t="shared" si="144"/>
        <v>1.9949552272679845E-3</v>
      </c>
      <c r="W237" s="32" t="str">
        <f t="shared" si="135"/>
        <v>1-0.0945001210130011i</v>
      </c>
      <c r="X237" s="18">
        <f t="shared" si="145"/>
        <v>1.0044552119788477</v>
      </c>
      <c r="Y237" s="18">
        <f t="shared" si="146"/>
        <v>-9.4220314781729833E-2</v>
      </c>
      <c r="Z237" s="32" t="str">
        <f t="shared" si="136"/>
        <v>0.999921670761828+0.0100843061934203i</v>
      </c>
      <c r="AA237" s="18">
        <f t="shared" si="147"/>
        <v>0.99997252006769077</v>
      </c>
      <c r="AB237" s="18">
        <f t="shared" si="148"/>
        <v>1.0084754256615357E-2</v>
      </c>
      <c r="AC237" s="69" t="str">
        <f t="shared" si="149"/>
        <v>-0.0293971826486478-12.2937440443397i</v>
      </c>
      <c r="AD237" s="67">
        <f t="shared" si="150"/>
        <v>21.79370817024779</v>
      </c>
      <c r="AE237" s="64">
        <f t="shared" si="151"/>
        <v>-90.137007186658934</v>
      </c>
      <c r="AF237" s="32" t="str">
        <f t="shared" si="137"/>
        <v>-0.0000198412698412698</v>
      </c>
      <c r="AG237" s="32" t="str">
        <f t="shared" si="138"/>
        <v>0.00033670996309194i</v>
      </c>
      <c r="AH237" s="32">
        <f t="shared" si="152"/>
        <v>3.3670996309194E-4</v>
      </c>
      <c r="AI237" s="32">
        <f t="shared" si="153"/>
        <v>1.5707963267948966</v>
      </c>
      <c r="AJ237" s="32" t="str">
        <f t="shared" si="139"/>
        <v>1+0.116872524327051i</v>
      </c>
      <c r="AK237" s="32">
        <f t="shared" si="154"/>
        <v>1.0068064297284642</v>
      </c>
      <c r="AL237" s="32">
        <f t="shared" si="155"/>
        <v>0.1163447153996168</v>
      </c>
      <c r="AM237" s="32" t="str">
        <f t="shared" si="140"/>
        <v>1+2.52736833857248i</v>
      </c>
      <c r="AN237" s="32">
        <f t="shared" si="156"/>
        <v>2.7180122734856473</v>
      </c>
      <c r="AO237" s="32">
        <f t="shared" si="157"/>
        <v>1.1940295830769314</v>
      </c>
      <c r="AP237" s="61" t="str">
        <f t="shared" si="158"/>
        <v>-0.14012896596172+0.0753041126695939i</v>
      </c>
      <c r="AQ237" s="52">
        <f t="shared" si="159"/>
        <v>-15.967621409873384</v>
      </c>
      <c r="AR237" s="64">
        <f t="shared" si="160"/>
        <v>151.74679456302476</v>
      </c>
      <c r="AS237" s="61" t="str">
        <f t="shared" si="161"/>
        <v>0.929888883452849+1.72049591197703i</v>
      </c>
      <c r="AT237" s="67">
        <f t="shared" si="162"/>
        <v>5.8260867603743929</v>
      </c>
      <c r="AU237" s="64">
        <f t="shared" si="163"/>
        <v>61.609787376365766</v>
      </c>
    </row>
    <row r="238" spans="14:47" x14ac:dyDescent="0.25">
      <c r="N238" s="11">
        <v>20</v>
      </c>
      <c r="O238" s="53">
        <f t="shared" si="164"/>
        <v>1584.8931924611156</v>
      </c>
      <c r="P238" s="51" t="str">
        <f t="shared" si="132"/>
        <v>122.692307692308</v>
      </c>
      <c r="Q238" s="18" t="str">
        <f t="shared" si="133"/>
        <v>1+10.2071320608286i</v>
      </c>
      <c r="R238" s="18">
        <f t="shared" si="141"/>
        <v>10.256000434243122</v>
      </c>
      <c r="S238" s="18">
        <f t="shared" si="142"/>
        <v>1.4731372709672226</v>
      </c>
      <c r="T238" s="18" t="str">
        <f t="shared" si="134"/>
        <v>1+0.00204142641216573i</v>
      </c>
      <c r="U238" s="18">
        <f t="shared" si="143"/>
        <v>1.0000020837087273</v>
      </c>
      <c r="V238" s="18">
        <f t="shared" si="144"/>
        <v>2.0414235763445126E-3</v>
      </c>
      <c r="W238" s="32" t="str">
        <f t="shared" si="135"/>
        <v>1-0.0967013116022874i</v>
      </c>
      <c r="X238" s="18">
        <f t="shared" si="145"/>
        <v>1.0046646921563447</v>
      </c>
      <c r="Y238" s="18">
        <f t="shared" si="146"/>
        <v>-9.6401568956302988E-2</v>
      </c>
      <c r="Z238" s="32" t="str">
        <f t="shared" si="136"/>
        <v>0.999917979218563+0.0103191998597404i</v>
      </c>
      <c r="AA238" s="18">
        <f t="shared" si="147"/>
        <v>0.99997122511114278</v>
      </c>
      <c r="AB238" s="18">
        <f t="shared" si="148"/>
        <v>1.0319679968225071E-2</v>
      </c>
      <c r="AC238" s="69" t="str">
        <f t="shared" si="149"/>
        <v>-0.0843830064175674-12.018856297707i</v>
      </c>
      <c r="AD238" s="67">
        <f t="shared" si="150"/>
        <v>21.597476922865397</v>
      </c>
      <c r="AE238" s="64">
        <f t="shared" si="151"/>
        <v>-90.40226046245931</v>
      </c>
      <c r="AF238" s="32" t="str">
        <f t="shared" si="137"/>
        <v>-0.0000198412698412698</v>
      </c>
      <c r="AG238" s="32" t="str">
        <f t="shared" si="138"/>
        <v>0.000344552945663094i</v>
      </c>
      <c r="AH238" s="32">
        <f t="shared" si="152"/>
        <v>3.4455294566309398E-4</v>
      </c>
      <c r="AI238" s="32">
        <f t="shared" si="153"/>
        <v>1.5707963267948966</v>
      </c>
      <c r="AJ238" s="32" t="str">
        <f t="shared" si="139"/>
        <v>1+0.119594835134033i</v>
      </c>
      <c r="AK238" s="32">
        <f t="shared" si="154"/>
        <v>1.0071260718453954</v>
      </c>
      <c r="AL238" s="32">
        <f t="shared" si="155"/>
        <v>0.11902949358070213</v>
      </c>
      <c r="AM238" s="32" t="str">
        <f t="shared" si="140"/>
        <v>1+2.58623830977347i</v>
      </c>
      <c r="AN238" s="32">
        <f t="shared" si="156"/>
        <v>2.7728376430905461</v>
      </c>
      <c r="AO238" s="32">
        <f t="shared" si="157"/>
        <v>1.2018408663051454</v>
      </c>
      <c r="AP238" s="61" t="str">
        <f t="shared" si="158"/>
        <v>-0.140040031690901+0.0743336114871439i</v>
      </c>
      <c r="AQ238" s="52">
        <f t="shared" si="159"/>
        <v>-15.996918024183636</v>
      </c>
      <c r="AR238" s="64">
        <f t="shared" si="160"/>
        <v>152.04052166587766</v>
      </c>
      <c r="AS238" s="61" t="str">
        <f t="shared" si="161"/>
        <v>0.905221993446455+1.67684852320411i</v>
      </c>
      <c r="AT238" s="67">
        <f t="shared" si="162"/>
        <v>5.6005588986817525</v>
      </c>
      <c r="AU238" s="64">
        <f t="shared" si="163"/>
        <v>61.638261203418296</v>
      </c>
    </row>
    <row r="239" spans="14:47" x14ac:dyDescent="0.25">
      <c r="N239" s="11">
        <v>21</v>
      </c>
      <c r="O239" s="53">
        <f t="shared" si="164"/>
        <v>1621.8100973589308</v>
      </c>
      <c r="P239" s="51" t="str">
        <f t="shared" si="132"/>
        <v>122.692307692308</v>
      </c>
      <c r="Q239" s="18" t="str">
        <f t="shared" si="133"/>
        <v>1+10.4448867091301i</v>
      </c>
      <c r="R239" s="18">
        <f t="shared" si="141"/>
        <v>10.492647824384587</v>
      </c>
      <c r="S239" s="18">
        <f t="shared" si="142"/>
        <v>1.4753466297254387</v>
      </c>
      <c r="T239" s="18" t="str">
        <f t="shared" si="134"/>
        <v>1+0.00208897734182603i</v>
      </c>
      <c r="U239" s="18">
        <f t="shared" si="143"/>
        <v>1.0000021819107869</v>
      </c>
      <c r="V239" s="18">
        <f t="shared" si="144"/>
        <v>2.0889743031892068E-3</v>
      </c>
      <c r="W239" s="32" t="str">
        <f t="shared" si="135"/>
        <v>1-0.0989537745069779i</v>
      </c>
      <c r="X239" s="18">
        <f t="shared" si="145"/>
        <v>1.0048839980262287</v>
      </c>
      <c r="Y239" s="18">
        <f t="shared" si="146"/>
        <v>-9.8632678723880485E-2</v>
      </c>
      <c r="Z239" s="32" t="str">
        <f t="shared" si="136"/>
        <v>0.999914113698224+0.0105595649024169i</v>
      </c>
      <c r="AA239" s="18">
        <f t="shared" si="147"/>
        <v>0.99996986913798225</v>
      </c>
      <c r="AB239" s="18">
        <f t="shared" si="148"/>
        <v>1.0560079348062816E-2</v>
      </c>
      <c r="AC239" s="69" t="str">
        <f t="shared" si="149"/>
        <v>-0.136940092343131-11.7498604729043i</v>
      </c>
      <c r="AD239" s="67">
        <f t="shared" si="150"/>
        <v>21.401244051963037</v>
      </c>
      <c r="AE239" s="64">
        <f t="shared" si="151"/>
        <v>-90.667729981949194</v>
      </c>
      <c r="AF239" s="32" t="str">
        <f t="shared" si="137"/>
        <v>-0.0000198412698412698</v>
      </c>
      <c r="AG239" s="32" t="str">
        <f t="shared" si="138"/>
        <v>0.000352578614766735i</v>
      </c>
      <c r="AH239" s="32">
        <f t="shared" si="152"/>
        <v>3.5257861476673501E-4</v>
      </c>
      <c r="AI239" s="32">
        <f t="shared" si="153"/>
        <v>1.5707963267948966</v>
      </c>
      <c r="AJ239" s="32" t="str">
        <f t="shared" si="139"/>
        <v>1+0.122380556705628i</v>
      </c>
      <c r="AK239" s="32">
        <f t="shared" si="154"/>
        <v>1.0074606695348358</v>
      </c>
      <c r="AL239" s="32">
        <f t="shared" si="155"/>
        <v>0.12177502433808135</v>
      </c>
      <c r="AM239" s="32" t="str">
        <f t="shared" si="140"/>
        <v>1+2.64647953875921i</v>
      </c>
      <c r="AN239" s="32">
        <f t="shared" si="156"/>
        <v>2.8291083310950045</v>
      </c>
      <c r="AO239" s="32">
        <f t="shared" si="157"/>
        <v>1.2095202094318698</v>
      </c>
      <c r="AP239" s="61" t="str">
        <f t="shared" si="158"/>
        <v>-0.13994702698835+0.0734015349748816i</v>
      </c>
      <c r="AQ239" s="52">
        <f t="shared" si="159"/>
        <v>-16.025300532418917</v>
      </c>
      <c r="AR239" s="64">
        <f t="shared" si="160"/>
        <v>152.3232082915506</v>
      </c>
      <c r="AS239" s="61" t="str">
        <f t="shared" si="161"/>
        <v>0.881622153250795+1.6343064277333i</v>
      </c>
      <c r="AT239" s="67">
        <f t="shared" si="162"/>
        <v>5.3759435195441361</v>
      </c>
      <c r="AU239" s="64">
        <f t="shared" si="163"/>
        <v>61.655478309601456</v>
      </c>
    </row>
    <row r="240" spans="14:47" x14ac:dyDescent="0.25">
      <c r="N240" s="11">
        <v>22</v>
      </c>
      <c r="O240" s="53">
        <f t="shared" si="164"/>
        <v>1659.5869074375626</v>
      </c>
      <c r="P240" s="51" t="str">
        <f t="shared" si="132"/>
        <v>122.692307692308</v>
      </c>
      <c r="Q240" s="18" t="str">
        <f t="shared" si="133"/>
        <v>1+10.6881793746193i</v>
      </c>
      <c r="R240" s="18">
        <f t="shared" si="141"/>
        <v>10.734858096129516</v>
      </c>
      <c r="S240" s="18">
        <f t="shared" si="142"/>
        <v>1.4775066008726161</v>
      </c>
      <c r="T240" s="18" t="str">
        <f t="shared" si="134"/>
        <v>1+0.00213763587492386i</v>
      </c>
      <c r="U240" s="18">
        <f t="shared" si="143"/>
        <v>1.0000022847409569</v>
      </c>
      <c r="V240" s="18">
        <f t="shared" si="144"/>
        <v>2.1376326189662446E-3</v>
      </c>
      <c r="W240" s="32" t="str">
        <f t="shared" si="135"/>
        <v>1-0.101258704012721i</v>
      </c>
      <c r="X240" s="18">
        <f t="shared" si="145"/>
        <v>1.0051135881771451</v>
      </c>
      <c r="Y240" s="18">
        <f t="shared" si="146"/>
        <v>-0.10091473815051188</v>
      </c>
      <c r="Z240" s="32" t="str">
        <f t="shared" si="136"/>
        <v>0.999910066001524+0.010805528766177i</v>
      </c>
      <c r="AA240" s="18">
        <f t="shared" si="147"/>
        <v>0.99996844927382023</v>
      </c>
      <c r="AB240" s="18">
        <f t="shared" si="148"/>
        <v>1.0806080004770662E-2</v>
      </c>
      <c r="AC240" s="69" t="str">
        <f t="shared" si="149"/>
        <v>-0.187173757431456-11.4866454479307i</v>
      </c>
      <c r="AD240" s="67">
        <f t="shared" si="150"/>
        <v>21.205017325053465</v>
      </c>
      <c r="AE240" s="64">
        <f t="shared" si="151"/>
        <v>-90.933546469551118</v>
      </c>
      <c r="AF240" s="32" t="str">
        <f t="shared" si="137"/>
        <v>-0.0000198412698412698</v>
      </c>
      <c r="AG240" s="32" t="str">
        <f t="shared" si="138"/>
        <v>0.000360791225718856i</v>
      </c>
      <c r="AH240" s="32">
        <f t="shared" si="152"/>
        <v>3.60791225718856E-4</v>
      </c>
      <c r="AI240" s="32">
        <f t="shared" si="153"/>
        <v>1.5707963267948966</v>
      </c>
      <c r="AJ240" s="32" t="str">
        <f t="shared" si="139"/>
        <v>1+0.125231166068287i</v>
      </c>
      <c r="AK240" s="32">
        <f t="shared" si="154"/>
        <v>1.0078109172631655</v>
      </c>
      <c r="AL240" s="32">
        <f t="shared" si="155"/>
        <v>0.12458259773448183</v>
      </c>
      <c r="AM240" s="32" t="str">
        <f t="shared" si="140"/>
        <v>1+2.70812396622671i</v>
      </c>
      <c r="AN240" s="32">
        <f t="shared" si="156"/>
        <v>2.8868556279196724</v>
      </c>
      <c r="AO240" s="32">
        <f t="shared" si="157"/>
        <v>1.2170680601851196</v>
      </c>
      <c r="AP240" s="61" t="str">
        <f t="shared" si="158"/>
        <v>-0.139849771421687+0.0725073203820955i</v>
      </c>
      <c r="AQ240" s="52">
        <f t="shared" si="159"/>
        <v>-16.052809938197278</v>
      </c>
      <c r="AR240" s="64">
        <f t="shared" si="160"/>
        <v>152.59480617781946</v>
      </c>
      <c r="AS240" s="61" t="str">
        <f t="shared" si="161"/>
        <v>0.859042088801578+1.59283327269787i</v>
      </c>
      <c r="AT240" s="67">
        <f t="shared" si="162"/>
        <v>5.1522073868562002</v>
      </c>
      <c r="AU240" s="64">
        <f t="shared" si="163"/>
        <v>61.661259708268382</v>
      </c>
    </row>
    <row r="241" spans="14:47" x14ac:dyDescent="0.25">
      <c r="N241" s="11">
        <v>23</v>
      </c>
      <c r="O241" s="53">
        <f t="shared" si="164"/>
        <v>1698.2436524617447</v>
      </c>
      <c r="P241" s="51" t="str">
        <f t="shared" si="132"/>
        <v>122.692307692308</v>
      </c>
      <c r="Q241" s="18" t="str">
        <f t="shared" si="133"/>
        <v>1+10.9371390542876i</v>
      </c>
      <c r="R241" s="18">
        <f t="shared" si="141"/>
        <v>10.982759702953674</v>
      </c>
      <c r="S241" s="18">
        <f t="shared" si="142"/>
        <v>1.4796182489912759</v>
      </c>
      <c r="T241" s="18" t="str">
        <f t="shared" si="134"/>
        <v>1+0.00218742781085752i</v>
      </c>
      <c r="U241" s="18">
        <f t="shared" si="143"/>
        <v>1.000002392417352</v>
      </c>
      <c r="V241" s="18">
        <f t="shared" si="144"/>
        <v>2.1874243220365288E-3</v>
      </c>
      <c r="W241" s="32" t="str">
        <f t="shared" si="135"/>
        <v>1-0.103617322223648i</v>
      </c>
      <c r="X241" s="18">
        <f t="shared" si="145"/>
        <v>1.0053539423828801</v>
      </c>
      <c r="Y241" s="18">
        <f t="shared" si="146"/>
        <v>-0.10324886208618089</v>
      </c>
      <c r="Z241" s="32" t="str">
        <f t="shared" si="136"/>
        <v>0.999905827542755+0.011057221864317i</v>
      </c>
      <c r="AA241" s="18">
        <f t="shared" si="147"/>
        <v>0.99996696250892136</v>
      </c>
      <c r="AB241" s="18">
        <f t="shared" si="148"/>
        <v>1.1057812527283082E-2</v>
      </c>
      <c r="AC241" s="69" t="str">
        <f t="shared" si="149"/>
        <v>-0.235184923306126-11.2291011249591i</v>
      </c>
      <c r="AD241" s="67">
        <f t="shared" si="150"/>
        <v>21.008804521365487</v>
      </c>
      <c r="AE241" s="64">
        <f t="shared" si="151"/>
        <v>-91.199840801606797</v>
      </c>
      <c r="AF241" s="32" t="str">
        <f t="shared" si="137"/>
        <v>-0.0000198412698412698</v>
      </c>
      <c r="AG241" s="32" t="str">
        <f t="shared" si="138"/>
        <v>0.000369195132954489i</v>
      </c>
      <c r="AH241" s="32">
        <f t="shared" si="152"/>
        <v>3.69195132954489E-4</v>
      </c>
      <c r="AI241" s="32">
        <f t="shared" si="153"/>
        <v>1.5707963267948966</v>
      </c>
      <c r="AJ241" s="32" t="str">
        <f t="shared" si="139"/>
        <v>1+0.128148174652825i</v>
      </c>
      <c r="AK241" s="32">
        <f t="shared" si="154"/>
        <v>1.0081775412430347</v>
      </c>
      <c r="AL241" s="32">
        <f t="shared" si="155"/>
        <v>0.12745352524288281</v>
      </c>
      <c r="AM241" s="32" t="str">
        <f t="shared" si="140"/>
        <v>1+2.77120427686734i</v>
      </c>
      <c r="AN241" s="32">
        <f t="shared" si="156"/>
        <v>2.9461115294787872</v>
      </c>
      <c r="AO241" s="32">
        <f t="shared" si="157"/>
        <v>1.2244849795279256</v>
      </c>
      <c r="AP241" s="61" t="str">
        <f t="shared" si="158"/>
        <v>-0.139748077116671+0.0716504203811542i</v>
      </c>
      <c r="AQ241" s="52">
        <f t="shared" si="159"/>
        <v>-16.079486770370451</v>
      </c>
      <c r="AR241" s="64">
        <f t="shared" si="160"/>
        <v>152.85527232363188</v>
      </c>
      <c r="AS241" s="61" t="str">
        <f t="shared" si="161"/>
        <v>0.837436456904674+1.55239419133949i</v>
      </c>
      <c r="AT241" s="67">
        <f t="shared" si="162"/>
        <v>4.9293177509950441</v>
      </c>
      <c r="AU241" s="64">
        <f t="shared" si="163"/>
        <v>61.655431522025133</v>
      </c>
    </row>
    <row r="242" spans="14:47" x14ac:dyDescent="0.25">
      <c r="N242" s="11">
        <v>24</v>
      </c>
      <c r="O242" s="53">
        <f t="shared" si="164"/>
        <v>1737.8008287493772</v>
      </c>
      <c r="P242" s="51" t="str">
        <f t="shared" si="132"/>
        <v>122.692307692308</v>
      </c>
      <c r="Q242" s="18" t="str">
        <f t="shared" si="133"/>
        <v>1+11.1918977498527i</v>
      </c>
      <c r="R242" s="18">
        <f t="shared" si="141"/>
        <v>11.23648411395477</v>
      </c>
      <c r="S242" s="18">
        <f t="shared" si="142"/>
        <v>1.4816826183359202</v>
      </c>
      <c r="T242" s="18" t="str">
        <f t="shared" si="134"/>
        <v>1+0.00223837954997054i</v>
      </c>
      <c r="U242" s="18">
        <f t="shared" si="143"/>
        <v>1.000002505168367</v>
      </c>
      <c r="V242" s="18">
        <f t="shared" si="144"/>
        <v>2.2383758116320011E-3</v>
      </c>
      <c r="W242" s="32" t="str">
        <f t="shared" si="135"/>
        <v>1-0.106030879710356i</v>
      </c>
      <c r="X242" s="18">
        <f t="shared" si="145"/>
        <v>1.0056055625602676</v>
      </c>
      <c r="Y242" s="18">
        <f t="shared" si="146"/>
        <v>-0.10563618632565351</v>
      </c>
      <c r="Z242" s="32" t="str">
        <f t="shared" si="136"/>
        <v>0.999901389331579+0.0113147776478492i</v>
      </c>
      <c r="AA242" s="18">
        <f t="shared" si="147"/>
        <v>0.99996540569183812</v>
      </c>
      <c r="AB242" s="18">
        <f t="shared" si="148"/>
        <v>1.1315410554812295E-2</v>
      </c>
      <c r="AC242" s="69" t="str">
        <f t="shared" si="149"/>
        <v>-0.281070284586244-10.9771185015777i</v>
      </c>
      <c r="AD242" s="67">
        <f t="shared" si="150"/>
        <v>20.812613446498588</v>
      </c>
      <c r="AE242" s="64">
        <f t="shared" si="151"/>
        <v>-91.466744030136709</v>
      </c>
      <c r="AF242" s="32" t="str">
        <f t="shared" si="137"/>
        <v>-0.0000198412698412698</v>
      </c>
      <c r="AG242" s="32" t="str">
        <f t="shared" si="138"/>
        <v>0.00037779479233649i</v>
      </c>
      <c r="AH242" s="32">
        <f t="shared" si="152"/>
        <v>3.7779479233649002E-4</v>
      </c>
      <c r="AI242" s="32">
        <f t="shared" si="153"/>
        <v>1.5707963267948966</v>
      </c>
      <c r="AJ242" s="32" t="str">
        <f t="shared" si="139"/>
        <v>1+0.131133129095806i</v>
      </c>
      <c r="AK242" s="32">
        <f t="shared" si="154"/>
        <v>1.0085613008372158</v>
      </c>
      <c r="AL242" s="32">
        <f t="shared" si="155"/>
        <v>0.13038913966346696</v>
      </c>
      <c r="AM242" s="32" t="str">
        <f t="shared" si="140"/>
        <v>1+2.83575391669682i</v>
      </c>
      <c r="AN242" s="32">
        <f t="shared" si="156"/>
        <v>3.0069087575218103</v>
      </c>
      <c r="AO242" s="32">
        <f t="shared" si="157"/>
        <v>1.2317716349532846</v>
      </c>
      <c r="AP242" s="61" t="str">
        <f t="shared" si="158"/>
        <v>-0.139641748503389+0.070830302474132i</v>
      </c>
      <c r="AQ242" s="52">
        <f t="shared" si="159"/>
        <v>-16.105371072515531</v>
      </c>
      <c r="AR242" s="64">
        <f t="shared" si="160"/>
        <v>153.1045686096939</v>
      </c>
      <c r="AS242" s="61" t="str">
        <f t="shared" si="161"/>
        <v>0.816761769753107+1.51295572781548i</v>
      </c>
      <c r="AT242" s="67">
        <f t="shared" si="162"/>
        <v>4.7072423739830693</v>
      </c>
      <c r="AU242" s="64">
        <f t="shared" si="163"/>
        <v>61.637824579557247</v>
      </c>
    </row>
    <row r="243" spans="14:47" x14ac:dyDescent="0.25">
      <c r="N243" s="11">
        <v>25</v>
      </c>
      <c r="O243" s="53">
        <f t="shared" si="164"/>
        <v>1778.2794100389244</v>
      </c>
      <c r="P243" s="51" t="str">
        <f t="shared" si="132"/>
        <v>122.692307692308</v>
      </c>
      <c r="Q243" s="18" t="str">
        <f t="shared" si="133"/>
        <v>1+11.452590537747i</v>
      </c>
      <c r="R243" s="18">
        <f t="shared" si="141"/>
        <v>11.49616588368888</v>
      </c>
      <c r="S243" s="18">
        <f t="shared" si="142"/>
        <v>1.4837007330430925</v>
      </c>
      <c r="T243" s="18" t="str">
        <f t="shared" si="134"/>
        <v>1+0.00229051810754941i</v>
      </c>
      <c r="U243" s="18">
        <f t="shared" si="143"/>
        <v>1.0000026232331598</v>
      </c>
      <c r="V243" s="18">
        <f t="shared" si="144"/>
        <v>2.2905141018480634E-3</v>
      </c>
      <c r="W243" s="32" t="str">
        <f t="shared" si="135"/>
        <v>1-0.108500656172971i</v>
      </c>
      <c r="X243" s="18">
        <f t="shared" si="145"/>
        <v>1.0058689737684354</v>
      </c>
      <c r="Y243" s="18">
        <f t="shared" si="146"/>
        <v>-0.10807786775147001</v>
      </c>
      <c r="Z243" s="32" t="str">
        <f t="shared" si="136"/>
        <v>0.999896741953954+0.011578332676259i</v>
      </c>
      <c r="AA243" s="18">
        <f t="shared" si="147"/>
        <v>0.99996377552274063</v>
      </c>
      <c r="AB243" s="18">
        <f t="shared" si="148"/>
        <v>1.1579010848503855E-2</v>
      </c>
      <c r="AC243" s="69" t="str">
        <f t="shared" si="149"/>
        <v>-0.324922472166375-10.7305897346625i</v>
      </c>
      <c r="AD243" s="67">
        <f t="shared" si="150"/>
        <v>20.616451947110605</v>
      </c>
      <c r="AE243" s="64">
        <f t="shared" si="151"/>
        <v>-91.734387406372306</v>
      </c>
      <c r="AF243" s="32" t="str">
        <f t="shared" si="137"/>
        <v>-0.0000198412698412698</v>
      </c>
      <c r="AG243" s="32" t="str">
        <f t="shared" si="138"/>
        <v>0.000386594763518093i</v>
      </c>
      <c r="AH243" s="32">
        <f t="shared" si="152"/>
        <v>3.8659476351809302E-4</v>
      </c>
      <c r="AI243" s="32">
        <f t="shared" si="153"/>
        <v>1.5707963267948966</v>
      </c>
      <c r="AJ243" s="32" t="str">
        <f t="shared" si="139"/>
        <v>1+0.134187612059587i</v>
      </c>
      <c r="AK243" s="32">
        <f t="shared" si="154"/>
        <v>1.0089629900200772</v>
      </c>
      <c r="AL243" s="32">
        <f t="shared" si="155"/>
        <v>0.13339079500125806</v>
      </c>
      <c r="AM243" s="32" t="str">
        <f t="shared" si="140"/>
        <v>1+2.90180711078856i</v>
      </c>
      <c r="AN243" s="32">
        <f t="shared" si="156"/>
        <v>3.0692807802843731</v>
      </c>
      <c r="AO243" s="32">
        <f t="shared" si="157"/>
        <v>1.2389287938864042</v>
      </c>
      <c r="AP243" s="61" t="str">
        <f t="shared" si="158"/>
        <v>-0.139530582059045+0.0700464483890296i</v>
      </c>
      <c r="AQ243" s="52">
        <f t="shared" si="159"/>
        <v>-16.130502396415306</v>
      </c>
      <c r="AR243" s="64">
        <f t="shared" si="160"/>
        <v>153.34266142745761</v>
      </c>
      <c r="AS243" s="61" t="str">
        <f t="shared" si="161"/>
        <v>0.796976321698326+1.47448576633723i</v>
      </c>
      <c r="AT243" s="67">
        <f t="shared" si="162"/>
        <v>4.4859495506952838</v>
      </c>
      <c r="AU243" s="64">
        <f t="shared" si="163"/>
        <v>61.608274021085236</v>
      </c>
    </row>
    <row r="244" spans="14:47" x14ac:dyDescent="0.25">
      <c r="N244" s="11">
        <v>26</v>
      </c>
      <c r="O244" s="53">
        <f t="shared" si="164"/>
        <v>1819.7008586099832</v>
      </c>
      <c r="P244" s="51" t="str">
        <f t="shared" si="132"/>
        <v>122.692307692308</v>
      </c>
      <c r="Q244" s="18" t="str">
        <f t="shared" si="133"/>
        <v>1+11.7193556407373i</v>
      </c>
      <c r="R244" s="18">
        <f t="shared" si="141"/>
        <v>11.76194272363546</v>
      </c>
      <c r="S244" s="18">
        <f t="shared" si="142"/>
        <v>1.4856735973526767</v>
      </c>
      <c r="T244" s="18" t="str">
        <f t="shared" si="134"/>
        <v>1+0.00234387112814746i</v>
      </c>
      <c r="U244" s="18">
        <f t="shared" si="143"/>
        <v>1.0000027468621602</v>
      </c>
      <c r="V244" s="18">
        <f t="shared" si="144"/>
        <v>2.3438668359617733E-3</v>
      </c>
      <c r="W244" s="32" t="str">
        <f t="shared" si="135"/>
        <v>1-0.111027961119664i</v>
      </c>
      <c r="X244" s="18">
        <f t="shared" si="145"/>
        <v>1.0061447252509896</v>
      </c>
      <c r="Y244" s="18">
        <f t="shared" si="146"/>
        <v>-0.11057508445732155</v>
      </c>
      <c r="Z244" s="32" t="str">
        <f t="shared" si="136"/>
        <v>0.999891875552169+0.011848026689911i</v>
      </c>
      <c r="AA244" s="18">
        <f t="shared" si="147"/>
        <v>0.99996206854644198</v>
      </c>
      <c r="AB244" s="18">
        <f t="shared" si="148"/>
        <v>1.1848753364805396E-2</v>
      </c>
      <c r="AC244" s="69" t="str">
        <f t="shared" si="149"/>
        <v>-0.366830211423984-10.4894081973678i</v>
      </c>
      <c r="AD244" s="67">
        <f t="shared" si="150"/>
        <v>20.420327925651588</v>
      </c>
      <c r="AE244" s="64">
        <f t="shared" si="151"/>
        <v>-92.002902403887447</v>
      </c>
      <c r="AF244" s="32" t="str">
        <f t="shared" si="137"/>
        <v>-0.0000198412698412698</v>
      </c>
      <c r="AG244" s="32" t="str">
        <f t="shared" si="138"/>
        <v>0.000395599712360499i</v>
      </c>
      <c r="AH244" s="32">
        <f t="shared" si="152"/>
        <v>3.9559971236049899E-4</v>
      </c>
      <c r="AI244" s="32">
        <f t="shared" si="153"/>
        <v>1.5707963267948966</v>
      </c>
      <c r="AJ244" s="32" t="str">
        <f t="shared" si="139"/>
        <v>1+0.137313243071463i</v>
      </c>
      <c r="AK244" s="32">
        <f t="shared" si="154"/>
        <v>1.0093834388986194</v>
      </c>
      <c r="AL244" s="32">
        <f t="shared" si="155"/>
        <v>0.13645986630135171</v>
      </c>
      <c r="AM244" s="32" t="str">
        <f t="shared" si="140"/>
        <v>1+2.96939888142038i</v>
      </c>
      <c r="AN244" s="32">
        <f t="shared" si="156"/>
        <v>3.1332618334541729</v>
      </c>
      <c r="AO244" s="32">
        <f t="shared" si="157"/>
        <v>1.2459573172149936</v>
      </c>
      <c r="AP244" s="61" t="str">
        <f t="shared" si="158"/>
        <v>-0.139414366047921+0.0692983534643505i</v>
      </c>
      <c r="AQ244" s="52">
        <f t="shared" si="159"/>
        <v>-16.154919799327011</v>
      </c>
      <c r="AR244" s="64">
        <f t="shared" si="160"/>
        <v>153.56952131787483</v>
      </c>
      <c r="AS244" s="61" t="str">
        <f t="shared" si="161"/>
        <v>0.778040118265949+1.43695346440124i</v>
      </c>
      <c r="AT244" s="67">
        <f t="shared" si="162"/>
        <v>4.2654081263245978</v>
      </c>
      <c r="AU244" s="64">
        <f t="shared" si="163"/>
        <v>61.566618913987448</v>
      </c>
    </row>
    <row r="245" spans="14:47" x14ac:dyDescent="0.25">
      <c r="N245" s="11">
        <v>27</v>
      </c>
      <c r="O245" s="53">
        <f t="shared" si="164"/>
        <v>1862.0871366628687</v>
      </c>
      <c r="P245" s="51" t="str">
        <f t="shared" si="132"/>
        <v>122.692307692308</v>
      </c>
      <c r="Q245" s="18" t="str">
        <f t="shared" si="133"/>
        <v>1+11.9923345012124i</v>
      </c>
      <c r="R245" s="18">
        <f t="shared" si="141"/>
        <v>12.033955575328058</v>
      </c>
      <c r="S245" s="18">
        <f t="shared" si="142"/>
        <v>1.4876021958391914</v>
      </c>
      <c r="T245" s="18" t="str">
        <f t="shared" si="134"/>
        <v>1+0.00239846690024248i</v>
      </c>
      <c r="U245" s="18">
        <f t="shared" si="143"/>
        <v>1.0000028763175992</v>
      </c>
      <c r="V245" s="18">
        <f t="shared" si="144"/>
        <v>2.3984623010833693E-3</v>
      </c>
      <c r="W245" s="32" t="str">
        <f t="shared" si="135"/>
        <v>1-0.113614134560973i</v>
      </c>
      <c r="X245" s="18">
        <f t="shared" si="145"/>
        <v>1.0064333915227768</v>
      </c>
      <c r="Y245" s="18">
        <f t="shared" si="146"/>
        <v>-0.11312903584990687</v>
      </c>
      <c r="Z245" s="32" t="str">
        <f t="shared" si="136"/>
        <v>0.999886779803934+0.0121240026841413i</v>
      </c>
      <c r="AA245" s="18">
        <f t="shared" si="147"/>
        <v>0.99996028114508917</v>
      </c>
      <c r="AB245" s="18">
        <f t="shared" si="148"/>
        <v>1.2124781330590513E-2</v>
      </c>
      <c r="AC245" s="69" t="str">
        <f t="shared" si="149"/>
        <v>-0.406878475394541-10.2534685297006i</v>
      </c>
      <c r="AD245" s="67">
        <f t="shared" si="150"/>
        <v>20.224249355160929</v>
      </c>
      <c r="AE245" s="64">
        <f t="shared" si="151"/>
        <v>-92.272420741151777</v>
      </c>
      <c r="AF245" s="32" t="str">
        <f t="shared" si="137"/>
        <v>-0.0000198412698412698</v>
      </c>
      <c r="AG245" s="32" t="str">
        <f t="shared" si="138"/>
        <v>0.000404814413406781i</v>
      </c>
      <c r="AH245" s="32">
        <f t="shared" si="152"/>
        <v>4.0481441340678101E-4</v>
      </c>
      <c r="AI245" s="32">
        <f t="shared" si="153"/>
        <v>1.5707963267948966</v>
      </c>
      <c r="AJ245" s="32" t="str">
        <f t="shared" si="139"/>
        <v>1+0.140511679382371i</v>
      </c>
      <c r="AK245" s="32">
        <f t="shared" si="154"/>
        <v>1.009823515295051</v>
      </c>
      <c r="AL245" s="32">
        <f t="shared" si="155"/>
        <v>0.13959774943847794</v>
      </c>
      <c r="AM245" s="32" t="str">
        <f t="shared" si="140"/>
        <v>1+3.03856506664378i</v>
      </c>
      <c r="AN245" s="32">
        <f t="shared" si="156"/>
        <v>3.198886941457594</v>
      </c>
      <c r="AO245" s="32">
        <f t="shared" si="157"/>
        <v>1.2528581529656138</v>
      </c>
      <c r="AP245" s="61" t="str">
        <f t="shared" si="158"/>
        <v>-0.139292880259123+0.0685855260207606i</v>
      </c>
      <c r="AQ245" s="52">
        <f t="shared" si="159"/>
        <v>-16.178661844837997</v>
      </c>
      <c r="AR245" s="64">
        <f t="shared" si="160"/>
        <v>153.78512262113583</v>
      </c>
      <c r="AS245" s="61" t="str">
        <f t="shared" si="161"/>
        <v>0.759914807399977+1.40032918988681i</v>
      </c>
      <c r="AT245" s="67">
        <f t="shared" si="162"/>
        <v>4.0455875103229229</v>
      </c>
      <c r="AU245" s="64">
        <f t="shared" si="163"/>
        <v>61.512701879983993</v>
      </c>
    </row>
    <row r="246" spans="14:47" x14ac:dyDescent="0.25">
      <c r="N246" s="11">
        <v>28</v>
      </c>
      <c r="O246" s="53">
        <f t="shared" si="164"/>
        <v>1905.4607179632501</v>
      </c>
      <c r="P246" s="51" t="str">
        <f t="shared" si="132"/>
        <v>122.692307692308</v>
      </c>
      <c r="Q246" s="18" t="str">
        <f t="shared" si="133"/>
        <v>1+12.2716718561775i</v>
      </c>
      <c r="R246" s="18">
        <f t="shared" si="141"/>
        <v>12.31234868518996</v>
      </c>
      <c r="S246" s="18">
        <f t="shared" si="142"/>
        <v>1.4894874936519265</v>
      </c>
      <c r="T246" s="18" t="str">
        <f t="shared" si="134"/>
        <v>1+0.0024543343712355i</v>
      </c>
      <c r="U246" s="18">
        <f t="shared" si="143"/>
        <v>1.0000030118740673</v>
      </c>
      <c r="V246" s="18">
        <f t="shared" si="144"/>
        <v>2.4543294431485269E-3</v>
      </c>
      <c r="W246" s="32" t="str">
        <f t="shared" si="135"/>
        <v>1-0.116260547720287i</v>
      </c>
      <c r="X246" s="18">
        <f t="shared" si="145"/>
        <v>1.006735573502904</v>
      </c>
      <c r="Y246" s="18">
        <f t="shared" si="146"/>
        <v>-0.11574094272723498</v>
      </c>
      <c r="Z246" s="32" t="str">
        <f t="shared" si="136"/>
        <v>0.999881443900483+0.0124064069850749i</v>
      </c>
      <c r="AA246" s="18">
        <f t="shared" si="147"/>
        <v>0.99995840953051351</v>
      </c>
      <c r="AB246" s="18">
        <f t="shared" si="148"/>
        <v>1.2407241320081511E-2</v>
      </c>
      <c r="AC246" s="69" t="str">
        <f t="shared" si="149"/>
        <v>-0.445148632967459-10.0226666831197i</v>
      </c>
      <c r="AD246" s="67">
        <f t="shared" si="150"/>
        <v>20.02822429414509</v>
      </c>
      <c r="AE246" s="64">
        <f t="shared" si="151"/>
        <v>-92.543074403324198</v>
      </c>
      <c r="AF246" s="32" t="str">
        <f t="shared" si="137"/>
        <v>-0.0000198412698412698</v>
      </c>
      <c r="AG246" s="32" t="str">
        <f t="shared" si="138"/>
        <v>0.000414243752413404i</v>
      </c>
      <c r="AH246" s="32">
        <f t="shared" si="152"/>
        <v>4.14243752413404E-4</v>
      </c>
      <c r="AI246" s="32">
        <f t="shared" si="153"/>
        <v>1.5707963267948966</v>
      </c>
      <c r="AJ246" s="32" t="str">
        <f t="shared" si="139"/>
        <v>1+0.143784616845582i</v>
      </c>
      <c r="AK246" s="32">
        <f t="shared" si="154"/>
        <v>1.010284126392883</v>
      </c>
      <c r="AL246" s="32">
        <f t="shared" si="155"/>
        <v>0.14280586085741617</v>
      </c>
      <c r="AM246" s="32" t="str">
        <f t="shared" si="140"/>
        <v>1+3.10934233928571i</v>
      </c>
      <c r="AN246" s="32">
        <f t="shared" si="156"/>
        <v>3.2661919390744214</v>
      </c>
      <c r="AO246" s="32">
        <f t="shared" si="157"/>
        <v>1.2596323301416761</v>
      </c>
      <c r="AP246" s="61" t="str">
        <f t="shared" si="158"/>
        <v>-0.139165895742853+0.0679074867185336i</v>
      </c>
      <c r="AQ246" s="52">
        <f t="shared" si="159"/>
        <v>-16.201766607103224</v>
      </c>
      <c r="AR246" s="64">
        <f t="shared" si="160"/>
        <v>153.98944313848511</v>
      </c>
      <c r="AS246" s="61" t="str">
        <f t="shared" si="161"/>
        <v>0.742563612913863+1.36458446180739i</v>
      </c>
      <c r="AT246" s="67">
        <f t="shared" si="162"/>
        <v>3.8264576870418572</v>
      </c>
      <c r="AU246" s="64">
        <f t="shared" si="163"/>
        <v>61.446368735160902</v>
      </c>
    </row>
    <row r="247" spans="14:47" x14ac:dyDescent="0.25">
      <c r="N247" s="11">
        <v>29</v>
      </c>
      <c r="O247" s="53">
        <f t="shared" si="164"/>
        <v>1949.8445997580463</v>
      </c>
      <c r="P247" s="51" t="str">
        <f t="shared" si="132"/>
        <v>122.692307692308</v>
      </c>
      <c r="Q247" s="18" t="str">
        <f t="shared" si="133"/>
        <v>1+12.5575158139953i</v>
      </c>
      <c r="R247" s="18">
        <f t="shared" si="141"/>
        <v>12.597269681115113</v>
      </c>
      <c r="S247" s="18">
        <f t="shared" si="142"/>
        <v>1.4913304367628566</v>
      </c>
      <c r="T247" s="18" t="str">
        <f t="shared" si="134"/>
        <v>1+0.00251150316279906i</v>
      </c>
      <c r="U247" s="18">
        <f t="shared" si="143"/>
        <v>1.000003153819095</v>
      </c>
      <c r="V247" s="18">
        <f t="shared" si="144"/>
        <v>2.5114978822596292E-3</v>
      </c>
      <c r="W247" s="32" t="str">
        <f t="shared" si="135"/>
        <v>1-0.118968603760891i</v>
      </c>
      <c r="X247" s="18">
        <f t="shared" si="145"/>
        <v>1.0070518996957485</v>
      </c>
      <c r="Y247" s="18">
        <f t="shared" si="146"/>
        <v>-0.11841204733124365</v>
      </c>
      <c r="Z247" s="32" t="str">
        <f t="shared" si="136"/>
        <v>0.99987585652365+0.0126953893272101i</v>
      </c>
      <c r="AA247" s="18">
        <f t="shared" si="147"/>
        <v>0.99995644973622322</v>
      </c>
      <c r="AB247" s="18">
        <f t="shared" si="148"/>
        <v>1.269628333361815E-2</v>
      </c>
      <c r="AC247" s="69" t="str">
        <f t="shared" si="149"/>
        <v>-0.481718592168086-9.79689995957266i</v>
      </c>
      <c r="AD247" s="67">
        <f t="shared" si="150"/>
        <v>19.832260901550448</v>
      </c>
      <c r="AE247" s="64">
        <f t="shared" si="151"/>
        <v>-92.814995663106075</v>
      </c>
      <c r="AF247" s="32" t="str">
        <f t="shared" si="137"/>
        <v>-0.0000198412698412698</v>
      </c>
      <c r="AG247" s="32" t="str">
        <f t="shared" si="138"/>
        <v>0.000423892728940719i</v>
      </c>
      <c r="AH247" s="32">
        <f t="shared" si="152"/>
        <v>4.2389272894071902E-4</v>
      </c>
      <c r="AI247" s="32">
        <f t="shared" si="153"/>
        <v>1.5707963267948966</v>
      </c>
      <c r="AJ247" s="32" t="str">
        <f t="shared" si="139"/>
        <v>1+0.147133790815856i</v>
      </c>
      <c r="AK247" s="32">
        <f t="shared" si="154"/>
        <v>1.0107662204485486</v>
      </c>
      <c r="AL247" s="32">
        <f t="shared" si="155"/>
        <v>0.14608563726063428</v>
      </c>
      <c r="AM247" s="32" t="str">
        <f t="shared" si="140"/>
        <v>1+3.18176822639289i</v>
      </c>
      <c r="AN247" s="32">
        <f t="shared" si="156"/>
        <v>3.3352134933888951</v>
      </c>
      <c r="AO247" s="32">
        <f t="shared" si="157"/>
        <v>1.2662809527362966</v>
      </c>
      <c r="AP247" s="61" t="str">
        <f t="shared" si="158"/>
        <v>-0.139033174546019+0.0672637678994515i</v>
      </c>
      <c r="AQ247" s="52">
        <f t="shared" si="159"/>
        <v>-16.224271678260585</v>
      </c>
      <c r="AR247" s="64">
        <f t="shared" si="160"/>
        <v>154.18246380708118</v>
      </c>
      <c r="AS247" s="61" t="str">
        <f t="shared" si="161"/>
        <v>0.725951270121809+1.32969189451271i</v>
      </c>
      <c r="AT247" s="67">
        <f t="shared" si="162"/>
        <v>3.6079892232898758</v>
      </c>
      <c r="AU247" s="64">
        <f t="shared" si="163"/>
        <v>61.367468143975145</v>
      </c>
    </row>
    <row r="248" spans="14:47" x14ac:dyDescent="0.25">
      <c r="N248" s="11">
        <v>30</v>
      </c>
      <c r="O248" s="53">
        <f t="shared" si="164"/>
        <v>1995.2623149688804</v>
      </c>
      <c r="P248" s="51" t="str">
        <f t="shared" si="132"/>
        <v>122.692307692308</v>
      </c>
      <c r="Q248" s="18" t="str">
        <f t="shared" si="133"/>
        <v>1+12.8500179329161i</v>
      </c>
      <c r="R248" s="18">
        <f t="shared" si="141"/>
        <v>12.888869650836932</v>
      </c>
      <c r="S248" s="18">
        <f t="shared" si="142"/>
        <v>1.4931319522213424</v>
      </c>
      <c r="T248" s="18" t="str">
        <f t="shared" si="134"/>
        <v>1+0.00257000358658323i</v>
      </c>
      <c r="U248" s="18">
        <f t="shared" si="143"/>
        <v>1.0000033024537645</v>
      </c>
      <c r="V248" s="18">
        <f t="shared" si="144"/>
        <v>2.5699979283842975E-3</v>
      </c>
      <c r="W248" s="32" t="str">
        <f t="shared" si="135"/>
        <v>1-0.121739738529946i</v>
      </c>
      <c r="X248" s="18">
        <f t="shared" si="145"/>
        <v>1.0073830274217148</v>
      </c>
      <c r="Y248" s="18">
        <f t="shared" si="146"/>
        <v>-0.12114361337243401</v>
      </c>
      <c r="Z248" s="32" t="str">
        <f t="shared" si="136"/>
        <v>0.99987000582186+0.01299110293281i</v>
      </c>
      <c r="AA248" s="18">
        <f t="shared" si="147"/>
        <v>0.99995439760901972</v>
      </c>
      <c r="AB248" s="18">
        <f t="shared" si="148"/>
        <v>1.2992060878318288E-2</v>
      </c>
      <c r="AC248" s="69" t="str">
        <f t="shared" si="149"/>
        <v>-0.516662938600621-9.57606704536055i</v>
      </c>
      <c r="AD248" s="67">
        <f t="shared" si="150"/>
        <v>19.636367451845608</v>
      </c>
      <c r="AE248" s="64">
        <f t="shared" si="151"/>
        <v>-93.088317100468188</v>
      </c>
      <c r="AF248" s="32" t="str">
        <f t="shared" si="137"/>
        <v>-0.0000198412698412698</v>
      </c>
      <c r="AG248" s="32" t="str">
        <f t="shared" si="138"/>
        <v>0.000433766459003803i</v>
      </c>
      <c r="AH248" s="32">
        <f t="shared" si="152"/>
        <v>4.3376645900380299E-4</v>
      </c>
      <c r="AI248" s="32">
        <f t="shared" si="153"/>
        <v>1.5707963267948966</v>
      </c>
      <c r="AJ248" s="32" t="str">
        <f t="shared" si="139"/>
        <v>1+0.150560977069568i</v>
      </c>
      <c r="AK248" s="32">
        <f t="shared" si="154"/>
        <v>1.0112707885705703</v>
      </c>
      <c r="AL248" s="32">
        <f t="shared" si="155"/>
        <v>0.14943853523935624</v>
      </c>
      <c r="AM248" s="32" t="str">
        <f t="shared" si="140"/>
        <v>1+3.25588112912942i</v>
      </c>
      <c r="AN248" s="32">
        <f t="shared" si="156"/>
        <v>3.405989126086733</v>
      </c>
      <c r="AO248" s="32">
        <f t="shared" si="157"/>
        <v>1.2728051939310421</v>
      </c>
      <c r="AP248" s="61" t="str">
        <f t="shared" si="158"/>
        <v>-0.138894469448111+0.0666539129118193i</v>
      </c>
      <c r="AQ248" s="52">
        <f t="shared" si="159"/>
        <v>-16.246214178820686</v>
      </c>
      <c r="AR248" s="64">
        <f t="shared" si="160"/>
        <v>154.36416838874689</v>
      </c>
      <c r="AS248" s="61" t="str">
        <f t="shared" si="161"/>
        <v>0.71004396361964+1.29562514515064i</v>
      </c>
      <c r="AT248" s="67">
        <f t="shared" si="162"/>
        <v>3.3901532730249064</v>
      </c>
      <c r="AU248" s="64">
        <f t="shared" si="163"/>
        <v>61.275851288278659</v>
      </c>
    </row>
    <row r="249" spans="14:47" x14ac:dyDescent="0.25">
      <c r="N249" s="11">
        <v>31</v>
      </c>
      <c r="O249" s="53">
        <f t="shared" si="164"/>
        <v>2041.7379446695318</v>
      </c>
      <c r="P249" s="51" t="str">
        <f t="shared" si="132"/>
        <v>122.692307692308</v>
      </c>
      <c r="Q249" s="18" t="str">
        <f t="shared" si="133"/>
        <v>1+13.1493333014351i</v>
      </c>
      <c r="R249" s="18">
        <f t="shared" si="141"/>
        <v>13.187303222123548</v>
      </c>
      <c r="S249" s="18">
        <f t="shared" si="142"/>
        <v>1.4948929484146729</v>
      </c>
      <c r="T249" s="18" t="str">
        <f t="shared" si="134"/>
        <v>1+0.00262986666028702i</v>
      </c>
      <c r="U249" s="18">
        <f t="shared" si="143"/>
        <v>1.0000034580933463</v>
      </c>
      <c r="V249" s="18">
        <f t="shared" si="144"/>
        <v>2.6298605974187633E-3</v>
      </c>
      <c r="W249" s="32" t="str">
        <f t="shared" si="135"/>
        <v>1-0.124575421319784i</v>
      </c>
      <c r="X249" s="18">
        <f t="shared" si="145"/>
        <v>1.007729644099548</v>
      </c>
      <c r="Y249" s="18">
        <f t="shared" si="146"/>
        <v>-0.12393692602407583</v>
      </c>
      <c r="Z249" s="32" t="str">
        <f t="shared" si="136"/>
        <v>0.999863879384989+0.0132937045931424i</v>
      </c>
      <c r="AA249" s="18">
        <f t="shared" si="147"/>
        <v>0.99995224880021616</v>
      </c>
      <c r="AB249" s="18">
        <f t="shared" si="148"/>
        <v>1.3294731050677673E-2</v>
      </c>
      <c r="AC249" s="69" t="str">
        <f t="shared" si="149"/>
        <v>-0.550053069134874-9.36006804020195i</v>
      </c>
      <c r="AD249" s="67">
        <f t="shared" si="150"/>
        <v>19.440552350230366</v>
      </c>
      <c r="AE249" s="64">
        <f t="shared" si="151"/>
        <v>-93.363171621058825</v>
      </c>
      <c r="AF249" s="32" t="str">
        <f t="shared" si="137"/>
        <v>-0.0000198412698412698</v>
      </c>
      <c r="AG249" s="32" t="str">
        <f t="shared" si="138"/>
        <v>0.000443870177785029i</v>
      </c>
      <c r="AH249" s="32">
        <f t="shared" si="152"/>
        <v>4.4387017778502901E-4</v>
      </c>
      <c r="AI249" s="32">
        <f t="shared" si="153"/>
        <v>1.5707963267948966</v>
      </c>
      <c r="AJ249" s="32" t="str">
        <f t="shared" si="139"/>
        <v>1+0.154067992746232i</v>
      </c>
      <c r="AK249" s="32">
        <f t="shared" si="154"/>
        <v>1.0117988665682784</v>
      </c>
      <c r="AL249" s="32">
        <f t="shared" si="155"/>
        <v>0.15286603084397904</v>
      </c>
      <c r="AM249" s="32" t="str">
        <f t="shared" si="140"/>
        <v>1+3.33172034313727i</v>
      </c>
      <c r="AN249" s="32">
        <f t="shared" si="156"/>
        <v>3.4785572361073389</v>
      </c>
      <c r="AO249" s="32">
        <f t="shared" si="157"/>
        <v>1.279206290489401</v>
      </c>
      <c r="AP249" s="61" t="str">
        <f t="shared" si="158"/>
        <v>-0.138749523698354+0.0660774754172203i</v>
      </c>
      <c r="AQ249" s="52">
        <f t="shared" si="159"/>
        <v>-16.267630770831659</v>
      </c>
      <c r="AR249" s="64">
        <f t="shared" si="160"/>
        <v>154.53454317335206</v>
      </c>
      <c r="AS249" s="61" t="str">
        <f t="shared" si="161"/>
        <v>0.694809267181235+1.26235886420828i</v>
      </c>
      <c r="AT249" s="67">
        <f t="shared" si="162"/>
        <v>3.1729215793987056</v>
      </c>
      <c r="AU249" s="64">
        <f t="shared" si="163"/>
        <v>61.171371552293245</v>
      </c>
    </row>
    <row r="250" spans="14:47" x14ac:dyDescent="0.25">
      <c r="N250" s="11">
        <v>32</v>
      </c>
      <c r="O250" s="53">
        <f t="shared" si="164"/>
        <v>2089.2961308540398</v>
      </c>
      <c r="P250" s="51" t="str">
        <f t="shared" si="132"/>
        <v>122.692307692308</v>
      </c>
      <c r="Q250" s="18" t="str">
        <f t="shared" si="133"/>
        <v>1+13.4556206205225i</v>
      </c>
      <c r="R250" s="18">
        <f t="shared" si="141"/>
        <v>13.492728644845352</v>
      </c>
      <c r="S250" s="18">
        <f t="shared" si="142"/>
        <v>1.496614315333608</v>
      </c>
      <c r="T250" s="18" t="str">
        <f t="shared" si="134"/>
        <v>1+0.00269112412410451i</v>
      </c>
      <c r="U250" s="18">
        <f t="shared" si="143"/>
        <v>1.0000036210679697</v>
      </c>
      <c r="V250" s="18">
        <f t="shared" si="144"/>
        <v>2.6911176276253985E-3</v>
      </c>
      <c r="W250" s="32" t="str">
        <f t="shared" si="135"/>
        <v>1-0.127477155646958i</v>
      </c>
      <c r="X250" s="18">
        <f t="shared" si="145"/>
        <v>1.0080924685820436</v>
      </c>
      <c r="Y250" s="18">
        <f t="shared" si="146"/>
        <v>-0.12679329188344035</v>
      </c>
      <c r="Z250" s="32" t="str">
        <f t="shared" si="136"/>
        <v>0.999857464218044+0.0136033547516131i</v>
      </c>
      <c r="AA250" s="18">
        <f t="shared" si="147"/>
        <v>0.99994999875645563</v>
      </c>
      <c r="AB250" s="18">
        <f t="shared" si="148"/>
        <v>1.3604454621160326E-2</v>
      </c>
      <c r="AC250" s="69" t="str">
        <f t="shared" si="149"/>
        <v>-0.581957320927967-9.14880448184051i</v>
      </c>
      <c r="AD250" s="67">
        <f t="shared" si="150"/>
        <v>19.244824147983326</v>
      </c>
      <c r="AE250" s="64">
        <f t="shared" si="151"/>
        <v>-93.639692473102102</v>
      </c>
      <c r="AF250" s="32" t="str">
        <f t="shared" si="137"/>
        <v>-0.0000198412698412698</v>
      </c>
      <c r="AG250" s="32" t="str">
        <f t="shared" si="138"/>
        <v>0.000454209242409833i</v>
      </c>
      <c r="AH250" s="32">
        <f t="shared" si="152"/>
        <v>4.54209242409833E-4</v>
      </c>
      <c r="AI250" s="32">
        <f t="shared" si="153"/>
        <v>1.5707963267948966</v>
      </c>
      <c r="AJ250" s="32" t="str">
        <f t="shared" si="139"/>
        <v>1+0.157656697311982i</v>
      </c>
      <c r="AK250" s="32">
        <f t="shared" si="154"/>
        <v>1.0123515368721094</v>
      </c>
      <c r="AL250" s="32">
        <f t="shared" si="155"/>
        <v>0.15636961908968233</v>
      </c>
      <c r="AM250" s="32" t="str">
        <f t="shared" si="140"/>
        <v>1+3.40932607937162i</v>
      </c>
      <c r="AN250" s="32">
        <f t="shared" si="156"/>
        <v>3.5529571226632415</v>
      </c>
      <c r="AO250" s="32">
        <f t="shared" si="157"/>
        <v>1.2854855373520881</v>
      </c>
      <c r="AP250" s="61" t="str">
        <f t="shared" si="158"/>
        <v>-0.138598070755326+0.0655340186776362i</v>
      </c>
      <c r="AQ250" s="52">
        <f t="shared" si="159"/>
        <v>-16.288557673619867</v>
      </c>
      <c r="AR250" s="64">
        <f t="shared" si="160"/>
        <v>154.69357669747421</v>
      </c>
      <c r="AS250" s="61" t="str">
        <f t="shared" si="161"/>
        <v>0.680216085733532+1.22986864896149i</v>
      </c>
      <c r="AT250" s="67">
        <f t="shared" si="162"/>
        <v>2.9562664743634359</v>
      </c>
      <c r="AU250" s="64">
        <f t="shared" si="163"/>
        <v>61.053884224372034</v>
      </c>
    </row>
    <row r="251" spans="14:47" x14ac:dyDescent="0.25">
      <c r="N251" s="11">
        <v>33</v>
      </c>
      <c r="O251" s="53">
        <f t="shared" si="164"/>
        <v>2137.9620895022344</v>
      </c>
      <c r="P251" s="51" t="str">
        <f t="shared" si="132"/>
        <v>122.692307692308</v>
      </c>
      <c r="Q251" s="18" t="str">
        <f t="shared" si="133"/>
        <v>1+13.7690422877691i</v>
      </c>
      <c r="R251" s="18">
        <f t="shared" si="141"/>
        <v>13.805307874957869</v>
      </c>
      <c r="S251" s="18">
        <f t="shared" si="142"/>
        <v>1.4982969248421216</v>
      </c>
      <c r="T251" s="18" t="str">
        <f t="shared" si="134"/>
        <v>1+0.00275380845755382i</v>
      </c>
      <c r="U251" s="18">
        <f t="shared" si="143"/>
        <v>1.000003791723322</v>
      </c>
      <c r="V251" s="18">
        <f t="shared" si="144"/>
        <v>2.7538014964524609E-3</v>
      </c>
      <c r="W251" s="32" t="str">
        <f t="shared" si="135"/>
        <v>1-0.130446480049415i</v>
      </c>
      <c r="X251" s="18">
        <f t="shared" si="145"/>
        <v>1.0084722525470309</v>
      </c>
      <c r="Y251" s="18">
        <f t="shared" si="146"/>
        <v>-0.12971403889728189</v>
      </c>
      <c r="Z251" s="32" t="str">
        <f t="shared" si="136"/>
        <v>0.999850746713595+0.0139202175888348i</v>
      </c>
      <c r="AA251" s="18">
        <f t="shared" si="147"/>
        <v>0.99994764271008407</v>
      </c>
      <c r="AB251" s="18">
        <f t="shared" si="148"/>
        <v>1.3921396120828874E-2</v>
      </c>
      <c r="AC251" s="69" t="str">
        <f t="shared" si="149"/>
        <v>-0.612441095876935-8.94217936652361i</v>
      </c>
      <c r="AD251" s="67">
        <f t="shared" si="150"/>
        <v>19.049191557962583</v>
      </c>
      <c r="AE251" s="64">
        <f t="shared" si="151"/>
        <v>-93.918013262583273</v>
      </c>
      <c r="AF251" s="32" t="str">
        <f t="shared" si="137"/>
        <v>-0.0000198412698412698</v>
      </c>
      <c r="AG251" s="32" t="str">
        <f t="shared" si="138"/>
        <v>0.000464789134787132i</v>
      </c>
      <c r="AH251" s="32">
        <f t="shared" si="152"/>
        <v>4.6478913478713199E-4</v>
      </c>
      <c r="AI251" s="32">
        <f t="shared" si="153"/>
        <v>1.5707963267948966</v>
      </c>
      <c r="AJ251" s="32" t="str">
        <f t="shared" si="139"/>
        <v>1+0.161328993545479i</v>
      </c>
      <c r="AK251" s="32">
        <f t="shared" si="154"/>
        <v>1.0129299305274759</v>
      </c>
      <c r="AL251" s="32">
        <f t="shared" si="155"/>
        <v>0.15995081339277553</v>
      </c>
      <c r="AM251" s="32" t="str">
        <f t="shared" si="140"/>
        <v>1+3.48873948542098i</v>
      </c>
      <c r="AN251" s="32">
        <f t="shared" si="156"/>
        <v>3.6292290086374326</v>
      </c>
      <c r="AO251" s="32">
        <f t="shared" si="157"/>
        <v>1.2916442824393173</v>
      </c>
      <c r="AP251" s="61" t="str">
        <f t="shared" si="158"/>
        <v>-0.138439834030274+0.065023114821533i</v>
      </c>
      <c r="AQ251" s="52">
        <f t="shared" si="159"/>
        <v>-16.309030681916109</v>
      </c>
      <c r="AR251" s="64">
        <f t="shared" si="160"/>
        <v>154.84125947888603</v>
      </c>
      <c r="AS251" s="61" t="str">
        <f t="shared" si="161"/>
        <v>0.66623459937073+1.19813099967184i</v>
      </c>
      <c r="AT251" s="67">
        <f t="shared" si="162"/>
        <v>2.7401608760464855</v>
      </c>
      <c r="AU251" s="64">
        <f t="shared" si="163"/>
        <v>60.923246216302779</v>
      </c>
    </row>
    <row r="252" spans="14:47" x14ac:dyDescent="0.25">
      <c r="N252" s="11">
        <v>34</v>
      </c>
      <c r="O252" s="53">
        <f t="shared" si="164"/>
        <v>2187.7616239495528</v>
      </c>
      <c r="P252" s="51" t="str">
        <f t="shared" si="132"/>
        <v>122.692307692308</v>
      </c>
      <c r="Q252" s="18" t="str">
        <f t="shared" si="133"/>
        <v>1+14.0897644834915i</v>
      </c>
      <c r="R252" s="18">
        <f t="shared" si="141"/>
        <v>14.125206660444247</v>
      </c>
      <c r="S252" s="18">
        <f t="shared" si="142"/>
        <v>1.4999416309506002</v>
      </c>
      <c r="T252" s="18" t="str">
        <f t="shared" si="134"/>
        <v>1+0.0028179528966983i</v>
      </c>
      <c r="U252" s="18">
        <f t="shared" si="143"/>
        <v>1.0000039704213819</v>
      </c>
      <c r="V252" s="18">
        <f t="shared" si="144"/>
        <v>2.8179454377454081E-3</v>
      </c>
      <c r="W252" s="32" t="str">
        <f t="shared" si="135"/>
        <v>1-0.133484968902258i</v>
      </c>
      <c r="X252" s="18">
        <f t="shared" si="145"/>
        <v>1.0088697819455377</v>
      </c>
      <c r="Y252" s="18">
        <f t="shared" si="146"/>
        <v>-0.13270051624871607</v>
      </c>
      <c r="Z252" s="32" t="str">
        <f t="shared" si="136"/>
        <v>0.999843712622915+0.014244461109678i</v>
      </c>
      <c r="AA252" s="18">
        <f t="shared" si="147"/>
        <v>0.99994517566908614</v>
      </c>
      <c r="AB252" s="18">
        <f t="shared" si="148"/>
        <v>1.4245723930068418E-2</v>
      </c>
      <c r="AC252" s="69" t="str">
        <f t="shared" si="149"/>
        <v>-0.641566980604152-8.74009716565899i</v>
      </c>
      <c r="AD252" s="67">
        <f t="shared" si="150"/>
        <v>18.853663470272171</v>
      </c>
      <c r="AE252" s="64">
        <f t="shared" si="151"/>
        <v>-94.198267966517804</v>
      </c>
      <c r="AF252" s="32" t="str">
        <f t="shared" si="137"/>
        <v>-0.0000198412698412698</v>
      </c>
      <c r="AG252" s="32" t="str">
        <f t="shared" si="138"/>
        <v>0.000475615464515907i</v>
      </c>
      <c r="AH252" s="32">
        <f t="shared" si="152"/>
        <v>4.75615464515907E-4</v>
      </c>
      <c r="AI252" s="32">
        <f t="shared" si="153"/>
        <v>1.5707963267948966</v>
      </c>
      <c r="AJ252" s="32" t="str">
        <f t="shared" si="139"/>
        <v>1+0.165086828546796i</v>
      </c>
      <c r="AK252" s="32">
        <f t="shared" si="154"/>
        <v>1.0135352292642024</v>
      </c>
      <c r="AL252" s="32">
        <f t="shared" si="155"/>
        <v>0.16361114493319653</v>
      </c>
      <c r="AM252" s="32" t="str">
        <f t="shared" si="140"/>
        <v>1+3.57000266732446i</v>
      </c>
      <c r="AN252" s="32">
        <f t="shared" si="156"/>
        <v>3.7074140643720601</v>
      </c>
      <c r="AO252" s="32">
        <f t="shared" si="157"/>
        <v>1.297683921663741</v>
      </c>
      <c r="AP252" s="61" t="str">
        <f t="shared" si="158"/>
        <v>-0.13827452663558+0.0645443440875312i</v>
      </c>
      <c r="AQ252" s="52">
        <f t="shared" si="159"/>
        <v>-16.329085186176822</v>
      </c>
      <c r="AR252" s="64">
        <f t="shared" si="160"/>
        <v>154.97758376734225</v>
      </c>
      <c r="AS252" s="61" t="str">
        <f t="shared" si="161"/>
        <v>0.652836209366807+1.16712327837916i</v>
      </c>
      <c r="AT252" s="67">
        <f t="shared" si="162"/>
        <v>2.5245782840953557</v>
      </c>
      <c r="AU252" s="64">
        <f t="shared" si="163"/>
        <v>60.77931580082452</v>
      </c>
    </row>
    <row r="253" spans="14:47" x14ac:dyDescent="0.25">
      <c r="N253" s="11">
        <v>35</v>
      </c>
      <c r="O253" s="53">
        <f t="shared" si="164"/>
        <v>2238.7211385683418</v>
      </c>
      <c r="P253" s="51" t="str">
        <f t="shared" si="132"/>
        <v>122.692307692308</v>
      </c>
      <c r="Q253" s="18" t="str">
        <f t="shared" si="133"/>
        <v>1+14.4179572588431i</v>
      </c>
      <c r="R253" s="18">
        <f t="shared" si="141"/>
        <v>14.452594629263857</v>
      </c>
      <c r="S253" s="18">
        <f t="shared" si="142"/>
        <v>1.5015492700918207</v>
      </c>
      <c r="T253" s="18" t="str">
        <f t="shared" si="134"/>
        <v>1+0.00288359145176863i</v>
      </c>
      <c r="U253" s="18">
        <f t="shared" si="143"/>
        <v>1.0000041575411878</v>
      </c>
      <c r="V253" s="18">
        <f t="shared" si="144"/>
        <v>2.8835834593584036E-3</v>
      </c>
      <c r="W253" s="32" t="str">
        <f t="shared" si="135"/>
        <v>1-0.136594233252495i</v>
      </c>
      <c r="X253" s="18">
        <f t="shared" si="145"/>
        <v>1.0092858785090759</v>
      </c>
      <c r="Y253" s="18">
        <f t="shared" si="146"/>
        <v>-0.13575409420239959</v>
      </c>
      <c r="Z253" s="32" t="str">
        <f t="shared" si="136"/>
        <v>0.999836347025754+0.0145762572323492i</v>
      </c>
      <c r="AA253" s="18">
        <f t="shared" si="147"/>
        <v>0.99994259240653793</v>
      </c>
      <c r="AB253" s="18">
        <f t="shared" si="148"/>
        <v>1.4577610369457521E-2</v>
      </c>
      <c r="AC253" s="69" t="str">
        <f t="shared" si="149"/>
        <v>-0.669394862080753-8.54246383893798i</v>
      </c>
      <c r="AD253" s="67">
        <f t="shared" si="150"/>
        <v>18.658248968106541</v>
      </c>
      <c r="AE253" s="64">
        <f t="shared" si="151"/>
        <v>-94.480590944090622</v>
      </c>
      <c r="AF253" s="32" t="str">
        <f t="shared" si="137"/>
        <v>-0.0000198412698412698</v>
      </c>
      <c r="AG253" s="32" t="str">
        <f t="shared" si="138"/>
        <v>0.000486693971859484i</v>
      </c>
      <c r="AH253" s="32">
        <f t="shared" si="152"/>
        <v>4.8669397185948401E-4</v>
      </c>
      <c r="AI253" s="32">
        <f t="shared" si="153"/>
        <v>1.5707963267948966</v>
      </c>
      <c r="AJ253" s="32" t="str">
        <f t="shared" si="139"/>
        <v>1+0.168932194769791i</v>
      </c>
      <c r="AK253" s="32">
        <f t="shared" si="154"/>
        <v>1.0141686676434738</v>
      </c>
      <c r="AL253" s="32">
        <f t="shared" si="155"/>
        <v>0.16735216193832231</v>
      </c>
      <c r="AM253" s="32" t="str">
        <f t="shared" si="140"/>
        <v>1+3.65315871189673i</v>
      </c>
      <c r="AN253" s="32">
        <f t="shared" si="156"/>
        <v>3.7875544318606136</v>
      </c>
      <c r="AO253" s="32">
        <f t="shared" si="157"/>
        <v>1.3036058941561093</v>
      </c>
      <c r="AP253" s="61" t="str">
        <f t="shared" si="158"/>
        <v>-0.138101851139923+0.064097294044257i</v>
      </c>
      <c r="AQ253" s="52">
        <f t="shared" si="159"/>
        <v>-16.348756194918451</v>
      </c>
      <c r="AR253" s="64">
        <f t="shared" si="160"/>
        <v>155.10254331206718</v>
      </c>
      <c r="AS253" s="61" t="str">
        <f t="shared" si="161"/>
        <v>0.639993486143746+1.13682367014668i</v>
      </c>
      <c r="AT253" s="67">
        <f t="shared" si="162"/>
        <v>2.3094927731880777</v>
      </c>
      <c r="AU253" s="64">
        <f t="shared" si="163"/>
        <v>60.621952367976469</v>
      </c>
    </row>
    <row r="254" spans="14:47" x14ac:dyDescent="0.25">
      <c r="N254" s="11">
        <v>36</v>
      </c>
      <c r="O254" s="53">
        <f t="shared" si="164"/>
        <v>2290.8676527677749</v>
      </c>
      <c r="P254" s="51" t="str">
        <f t="shared" si="132"/>
        <v>122.692307692308</v>
      </c>
      <c r="Q254" s="18" t="str">
        <f t="shared" si="133"/>
        <v>1+14.7537946259776i</v>
      </c>
      <c r="R254" s="18">
        <f t="shared" si="141"/>
        <v>14.787645379353858</v>
      </c>
      <c r="S254" s="18">
        <f t="shared" si="142"/>
        <v>1.5031206613990762</v>
      </c>
      <c r="T254" s="18" t="str">
        <f t="shared" si="134"/>
        <v>1+0.00295075892519552i</v>
      </c>
      <c r="U254" s="18">
        <f t="shared" si="143"/>
        <v>1.000004353479641</v>
      </c>
      <c r="V254" s="18">
        <f t="shared" si="144"/>
        <v>2.9507503611756808E-3</v>
      </c>
      <c r="W254" s="32" t="str">
        <f t="shared" si="135"/>
        <v>1-0.139775921673241i</v>
      </c>
      <c r="X254" s="18">
        <f t="shared" si="145"/>
        <v>1.0097214013180091</v>
      </c>
      <c r="Y254" s="18">
        <f t="shared" si="146"/>
        <v>-0.13887616390479982</v>
      </c>
      <c r="Z254" s="32" t="str">
        <f t="shared" si="136"/>
        <v>0.999828634298694+0.0149157818795446i</v>
      </c>
      <c r="AA254" s="18">
        <f t="shared" si="147"/>
        <v>0.99993988744957552</v>
      </c>
      <c r="AB254" s="18">
        <f t="shared" si="148"/>
        <v>1.4917231792842746E-2</v>
      </c>
      <c r="AC254" s="69" t="str">
        <f t="shared" si="149"/>
        <v>-0.695982038996847-8.34918684419491i</v>
      </c>
      <c r="AD254" s="67">
        <f t="shared" si="150"/>
        <v>18.462957343782929</v>
      </c>
      <c r="AE254" s="64">
        <f t="shared" si="151"/>
        <v>-94.765116945448213</v>
      </c>
      <c r="AF254" s="32" t="str">
        <f t="shared" si="137"/>
        <v>-0.0000198412698412698</v>
      </c>
      <c r="AG254" s="32" t="str">
        <f t="shared" si="138"/>
        <v>0.000498030530789096i</v>
      </c>
      <c r="AH254" s="32">
        <f t="shared" si="152"/>
        <v>4.9803053078909605E-4</v>
      </c>
      <c r="AI254" s="32">
        <f t="shared" si="153"/>
        <v>1.5707963267948966</v>
      </c>
      <c r="AJ254" s="32" t="str">
        <f t="shared" si="139"/>
        <v>1+0.172867131078534i</v>
      </c>
      <c r="AK254" s="32">
        <f t="shared" si="154"/>
        <v>1.0148315352842181</v>
      </c>
      <c r="AL254" s="32">
        <f t="shared" si="155"/>
        <v>0.17117542888309467</v>
      </c>
      <c r="AM254" s="32" t="str">
        <f t="shared" si="140"/>
        <v>1+3.73825170957331i</v>
      </c>
      <c r="AN254" s="32">
        <f t="shared" si="156"/>
        <v>3.8696932493581162</v>
      </c>
      <c r="AO254" s="32">
        <f t="shared" si="157"/>
        <v>1.3094116777045162</v>
      </c>
      <c r="AP254" s="61" t="str">
        <f t="shared" si="158"/>
        <v>-0.13792149933185+0.0636815587850124i</v>
      </c>
      <c r="AQ254" s="52">
        <f t="shared" si="159"/>
        <v>-16.36807835888705</v>
      </c>
      <c r="AR254" s="64">
        <f t="shared" si="160"/>
        <v>155.21613314627004</v>
      </c>
      <c r="AS254" s="61" t="str">
        <f t="shared" si="161"/>
        <v>0.627680119152134+1.10721114662343i</v>
      </c>
      <c r="AT254" s="67">
        <f t="shared" si="162"/>
        <v>2.0948789848958871</v>
      </c>
      <c r="AU254" s="64">
        <f t="shared" si="163"/>
        <v>60.451016200821854</v>
      </c>
    </row>
    <row r="255" spans="14:47" x14ac:dyDescent="0.25">
      <c r="N255" s="11">
        <v>37</v>
      </c>
      <c r="O255" s="53">
        <f t="shared" si="164"/>
        <v>2344.2288153199238</v>
      </c>
      <c r="P255" s="51" t="str">
        <f t="shared" si="132"/>
        <v>122.692307692308</v>
      </c>
      <c r="Q255" s="18" t="str">
        <f t="shared" si="133"/>
        <v>1+15.0974546503123i</v>
      </c>
      <c r="R255" s="18">
        <f t="shared" si="141"/>
        <v>15.130536570731275</v>
      </c>
      <c r="S255" s="18">
        <f t="shared" si="142"/>
        <v>1.504656606985864</v>
      </c>
      <c r="T255" s="18" t="str">
        <f t="shared" si="134"/>
        <v>1+0.00301949093006247i</v>
      </c>
      <c r="U255" s="18">
        <f t="shared" si="143"/>
        <v>1.0000045586523478</v>
      </c>
      <c r="V255" s="18">
        <f t="shared" si="144"/>
        <v>3.0194817535521413E-3</v>
      </c>
      <c r="W255" s="32" t="str">
        <f t="shared" si="135"/>
        <v>1-0.143031721137811i</v>
      </c>
      <c r="X255" s="18">
        <f t="shared" si="145"/>
        <v>1.010177248432989</v>
      </c>
      <c r="Y255" s="18">
        <f t="shared" si="146"/>
        <v>-0.14206813713612831</v>
      </c>
      <c r="Z255" s="32" t="str">
        <f t="shared" si="136"/>
        <v>0.999820558082006+0.0152632150717263i</v>
      </c>
      <c r="AA255" s="18">
        <f t="shared" si="147"/>
        <v>0.99993705506783748</v>
      </c>
      <c r="AB255" s="18">
        <f t="shared" si="148"/>
        <v>1.5264768682673274E-2</v>
      </c>
      <c r="AC255" s="69" t="str">
        <f t="shared" si="149"/>
        <v>-0.721383328989354-8.16017514425777i</v>
      </c>
      <c r="AD255" s="67">
        <f t="shared" si="150"/>
        <v>18.267798114972564</v>
      </c>
      <c r="AE255" s="64">
        <f t="shared" si="151"/>
        <v>-95.051981117915915</v>
      </c>
      <c r="AF255" s="32" t="str">
        <f t="shared" si="137"/>
        <v>-0.0000198412698412698</v>
      </c>
      <c r="AG255" s="32" t="str">
        <f t="shared" si="138"/>
        <v>0.000509631152098346i</v>
      </c>
      <c r="AH255" s="32">
        <f t="shared" si="152"/>
        <v>5.0963115209834604E-4</v>
      </c>
      <c r="AI255" s="32">
        <f t="shared" si="153"/>
        <v>1.5707963267948966</v>
      </c>
      <c r="AJ255" s="32" t="str">
        <f t="shared" si="139"/>
        <v>1+0.176893723828343i</v>
      </c>
      <c r="AK255" s="32">
        <f t="shared" si="154"/>
        <v>1.0155251791707864</v>
      </c>
      <c r="AL255" s="32">
        <f t="shared" si="155"/>
        <v>0.17508252560124307</v>
      </c>
      <c r="AM255" s="32" t="str">
        <f t="shared" si="140"/>
        <v>1+3.82532677778792i</v>
      </c>
      <c r="AN255" s="32">
        <f t="shared" si="156"/>
        <v>3.9538746764232822</v>
      </c>
      <c r="AO255" s="32">
        <f t="shared" si="157"/>
        <v>1.3151027844068144</v>
      </c>
      <c r="AP255" s="61" t="str">
        <f t="shared" si="158"/>
        <v>-0.137733151993653+0.0632967380959024i</v>
      </c>
      <c r="AQ255" s="52">
        <f t="shared" si="159"/>
        <v>-16.387085996890598</v>
      </c>
      <c r="AR255" s="64">
        <f t="shared" si="160"/>
        <v>155.31834938897106</v>
      </c>
      <c r="AS255" s="61" t="str">
        <f t="shared" si="161"/>
        <v>0.615870868620155+1.0782654317971i</v>
      </c>
      <c r="AT255" s="67">
        <f t="shared" si="162"/>
        <v>1.8807121180819948</v>
      </c>
      <c r="AU255" s="64">
        <f t="shared" si="163"/>
        <v>60.266368271055264</v>
      </c>
    </row>
    <row r="256" spans="14:47" x14ac:dyDescent="0.25">
      <c r="N256" s="11">
        <v>38</v>
      </c>
      <c r="O256" s="53">
        <f t="shared" si="164"/>
        <v>2398.8329190194918</v>
      </c>
      <c r="P256" s="51" t="str">
        <f t="shared" si="132"/>
        <v>122.692307692308</v>
      </c>
      <c r="Q256" s="18" t="str">
        <f t="shared" si="133"/>
        <v>1+15.4491195449411i</v>
      </c>
      <c r="R256" s="18">
        <f t="shared" si="141"/>
        <v>15.481450019745601</v>
      </c>
      <c r="S256" s="18">
        <f t="shared" si="142"/>
        <v>1.5061578922266057</v>
      </c>
      <c r="T256" s="18" t="str">
        <f t="shared" si="134"/>
        <v>1+0.00308982390898821i</v>
      </c>
      <c r="U256" s="18">
        <f t="shared" si="143"/>
        <v>1.000004773494501</v>
      </c>
      <c r="V256" s="18">
        <f t="shared" si="144"/>
        <v>3.089814076182773E-3</v>
      </c>
      <c r="W256" s="32" t="str">
        <f t="shared" si="135"/>
        <v>1-0.146363357914177i</v>
      </c>
      <c r="X256" s="18">
        <f t="shared" si="145"/>
        <v>1.0106543585914589</v>
      </c>
      <c r="Y256" s="18">
        <f t="shared" si="146"/>
        <v>-0.14533144601035208</v>
      </c>
      <c r="Z256" s="32" t="str">
        <f t="shared" si="136"/>
        <v>0.999812101244951+0.0156187410225714i</v>
      </c>
      <c r="AA256" s="18">
        <f t="shared" si="147"/>
        <v>0.9999340892613745</v>
      </c>
      <c r="AB256" s="18">
        <f t="shared" si="148"/>
        <v>1.56204057476555E-2</v>
      </c>
      <c r="AC256" s="69" t="str">
        <f t="shared" si="149"/>
        <v>-0.745651171840261-7.97533921102739i</v>
      </c>
      <c r="AD256" s="67">
        <f t="shared" si="150"/>
        <v>18.072781041138626</v>
      </c>
      <c r="AE256" s="64">
        <f t="shared" si="151"/>
        <v>-95.341319009408139</v>
      </c>
      <c r="AF256" s="32" t="str">
        <f t="shared" si="137"/>
        <v>-0.0000198412698412698</v>
      </c>
      <c r="AG256" s="32" t="str">
        <f t="shared" si="138"/>
        <v>0.000521501986590205i</v>
      </c>
      <c r="AH256" s="32">
        <f t="shared" si="152"/>
        <v>5.2150198659020499E-4</v>
      </c>
      <c r="AI256" s="32">
        <f t="shared" si="153"/>
        <v>1.5707963267948966</v>
      </c>
      <c r="AJ256" s="32" t="str">
        <f t="shared" si="139"/>
        <v>1+0.18101410797199i</v>
      </c>
      <c r="AK256" s="32">
        <f t="shared" si="154"/>
        <v>1.0162510060437309</v>
      </c>
      <c r="AL256" s="32">
        <f t="shared" si="155"/>
        <v>0.17907504630218715</v>
      </c>
      <c r="AM256" s="32" t="str">
        <f t="shared" si="140"/>
        <v>1+3.91443008489428i</v>
      </c>
      <c r="AN256" s="32">
        <f t="shared" si="156"/>
        <v>4.0401439194075062</v>
      </c>
      <c r="AO256" s="32">
        <f t="shared" si="157"/>
        <v>1.3206807565347438</v>
      </c>
      <c r="AP256" s="61" t="str">
        <f t="shared" si="158"/>
        <v>-0.137536478687596+0.0629424365961046i</v>
      </c>
      <c r="AQ256" s="52">
        <f t="shared" si="159"/>
        <v>-16.405813123127764</v>
      </c>
      <c r="AR256" s="64">
        <f t="shared" si="160"/>
        <v>155.40918906436031</v>
      </c>
      <c r="AS256" s="61" t="str">
        <f t="shared" si="161"/>
        <v>0.604541519126707+1.04996696981745i</v>
      </c>
      <c r="AT256" s="67">
        <f t="shared" si="162"/>
        <v>1.6669679180108554</v>
      </c>
      <c r="AU256" s="64">
        <f t="shared" si="163"/>
        <v>60.067870054952181</v>
      </c>
    </row>
    <row r="257" spans="14:47" x14ac:dyDescent="0.25">
      <c r="N257" s="11">
        <v>39</v>
      </c>
      <c r="O257" s="53">
        <f t="shared" si="164"/>
        <v>2454.7089156850338</v>
      </c>
      <c r="P257" s="51" t="str">
        <f t="shared" si="132"/>
        <v>122.692307692308</v>
      </c>
      <c r="Q257" s="18" t="str">
        <f t="shared" si="133"/>
        <v>1+15.8089757672458i</v>
      </c>
      <c r="R257" s="18">
        <f t="shared" si="141"/>
        <v>15.840571795530769</v>
      </c>
      <c r="S257" s="18">
        <f t="shared" si="142"/>
        <v>1.5076252860378985</v>
      </c>
      <c r="T257" s="18" t="str">
        <f t="shared" si="134"/>
        <v>1+0.00316179515344916i</v>
      </c>
      <c r="U257" s="18">
        <f t="shared" si="143"/>
        <v>1.0000049984618038</v>
      </c>
      <c r="V257" s="18">
        <f t="shared" si="144"/>
        <v>3.1617846174111538E-3</v>
      </c>
      <c r="W257" s="32" t="str">
        <f t="shared" si="135"/>
        <v>1-0.149772598480257i</v>
      </c>
      <c r="X257" s="18">
        <f t="shared" si="145"/>
        <v>1.0111537129712418</v>
      </c>
      <c r="Y257" s="18">
        <f t="shared" si="146"/>
        <v>-0.14866754261949383</v>
      </c>
      <c r="Z257" s="32" t="str">
        <f t="shared" si="136"/>
        <v>0.999803245849445+0.0159825482366452i</v>
      </c>
      <c r="AA257" s="18">
        <f t="shared" si="147"/>
        <v>0.99993098374798972</v>
      </c>
      <c r="AB257" s="18">
        <f t="shared" si="148"/>
        <v>1.5984332022789528E-2</v>
      </c>
      <c r="AC257" s="69" t="str">
        <f t="shared" si="149"/>
        <v>-0.768835728758921-7.79459102700859i</v>
      </c>
      <c r="AD257" s="67">
        <f t="shared" si="150"/>
        <v>17.877916140188766</v>
      </c>
      <c r="AE257" s="64">
        <f t="shared" si="151"/>
        <v>-95.633266568788002</v>
      </c>
      <c r="AF257" s="32" t="str">
        <f t="shared" si="137"/>
        <v>-0.0000198412698412698</v>
      </c>
      <c r="AG257" s="32" t="str">
        <f t="shared" si="138"/>
        <v>0.000533649328338249i</v>
      </c>
      <c r="AH257" s="32">
        <f t="shared" si="152"/>
        <v>5.3364932833824903E-4</v>
      </c>
      <c r="AI257" s="32">
        <f t="shared" si="153"/>
        <v>1.5707963267948966</v>
      </c>
      <c r="AJ257" s="32" t="str">
        <f t="shared" si="139"/>
        <v>1+0.185230468191689i</v>
      </c>
      <c r="AK257" s="32">
        <f t="shared" si="154"/>
        <v>1.017010484875408</v>
      </c>
      <c r="AL257" s="32">
        <f t="shared" si="155"/>
        <v>0.18315459848804985</v>
      </c>
      <c r="AM257" s="32" t="str">
        <f t="shared" si="140"/>
        <v>1+4.00560887464527i</v>
      </c>
      <c r="AN257" s="32">
        <f t="shared" si="156"/>
        <v>4.128547257406284</v>
      </c>
      <c r="AO257" s="32">
        <f t="shared" si="157"/>
        <v>1.3261471626074031</v>
      </c>
      <c r="AP257" s="61" t="str">
        <f t="shared" si="158"/>
        <v>-0.137331137556751+0.0626182628490124i</v>
      </c>
      <c r="AQ257" s="52">
        <f t="shared" si="159"/>
        <v>-16.424293475851155</v>
      </c>
      <c r="AR257" s="64">
        <f t="shared" si="160"/>
        <v>155.48864993887517</v>
      </c>
      <c r="AS257" s="61" t="str">
        <f t="shared" si="161"/>
        <v>0.593668834954514+1.0222968947776i</v>
      </c>
      <c r="AT257" s="67">
        <f t="shared" si="162"/>
        <v>1.4536226643376406</v>
      </c>
      <c r="AU257" s="64">
        <f t="shared" si="163"/>
        <v>59.855383370087246</v>
      </c>
    </row>
    <row r="258" spans="14:47" x14ac:dyDescent="0.25">
      <c r="N258" s="11">
        <v>40</v>
      </c>
      <c r="O258" s="53">
        <f t="shared" si="164"/>
        <v>2511.8864315095811</v>
      </c>
      <c r="P258" s="51" t="str">
        <f t="shared" si="132"/>
        <v>122.692307692308</v>
      </c>
      <c r="Q258" s="18" t="str">
        <f t="shared" si="133"/>
        <v>1+16.1772141177589i</v>
      </c>
      <c r="R258" s="18">
        <f t="shared" si="141"/>
        <v>16.208092318709745</v>
      </c>
      <c r="S258" s="18">
        <f t="shared" si="142"/>
        <v>1.5090595411598531</v>
      </c>
      <c r="T258" s="18" t="str">
        <f t="shared" si="134"/>
        <v>1+0.00323544282355179i</v>
      </c>
      <c r="U258" s="18">
        <f t="shared" si="143"/>
        <v>1.0000052340314347</v>
      </c>
      <c r="V258" s="18">
        <f t="shared" si="144"/>
        <v>3.2354315339868573E-3</v>
      </c>
      <c r="W258" s="32" t="str">
        <f t="shared" si="135"/>
        <v>1-0.153261250460526i</v>
      </c>
      <c r="X258" s="18">
        <f t="shared" si="145"/>
        <v>1.0116763370232222</v>
      </c>
      <c r="Y258" s="18">
        <f t="shared" si="146"/>
        <v>-0.15207789861825063</v>
      </c>
      <c r="Z258" s="32" t="str">
        <f t="shared" si="136"/>
        <v>0.999793973112006+0.0163548296093483i</v>
      </c>
      <c r="AA258" s="18">
        <f t="shared" si="147"/>
        <v>0.99992773194998519</v>
      </c>
      <c r="AB258" s="18">
        <f t="shared" si="148"/>
        <v>1.6356740971848679E-2</v>
      </c>
      <c r="AC258" s="69" t="str">
        <f t="shared" si="149"/>
        <v>-0.790984977862715-7.61784408450094i</v>
      </c>
      <c r="AD258" s="67">
        <f t="shared" si="150"/>
        <v>17.683213705346667</v>
      </c>
      <c r="AE258" s="64">
        <f t="shared" si="151"/>
        <v>-95.927960142926949</v>
      </c>
      <c r="AF258" s="32" t="str">
        <f t="shared" si="137"/>
        <v>-0.0000198412698412698</v>
      </c>
      <c r="AG258" s="32" t="str">
        <f t="shared" si="138"/>
        <v>0.000546079618023861i</v>
      </c>
      <c r="AH258" s="32">
        <f t="shared" si="152"/>
        <v>5.4607961802386102E-4</v>
      </c>
      <c r="AI258" s="32">
        <f t="shared" si="153"/>
        <v>1.5707963267948966</v>
      </c>
      <c r="AJ258" s="32" t="str">
        <f t="shared" si="139"/>
        <v>1+0.189545040057439i</v>
      </c>
      <c r="AK258" s="32">
        <f t="shared" si="154"/>
        <v>1.0178051494320395</v>
      </c>
      <c r="AL258" s="32">
        <f t="shared" si="155"/>
        <v>0.18732280176498212</v>
      </c>
      <c r="AM258" s="32" t="str">
        <f t="shared" si="140"/>
        <v>1+4.09891149124212i</v>
      </c>
      <c r="AN258" s="32">
        <f t="shared" si="156"/>
        <v>4.2191320686886185</v>
      </c>
      <c r="AO258" s="32">
        <f t="shared" si="157"/>
        <v>1.3315035936708293</v>
      </c>
      <c r="AP258" s="61" t="str">
        <f t="shared" si="158"/>
        <v>-0.137116775142856+0.0623238284430352i</v>
      </c>
      <c r="AQ258" s="52">
        <f t="shared" si="159"/>
        <v>-16.442560547210125</v>
      </c>
      <c r="AR258" s="64">
        <f t="shared" si="160"/>
        <v>155.5567303761413</v>
      </c>
      <c r="AS258" s="61" t="str">
        <f t="shared" si="161"/>
        <v>0.583230517179206+0.995237002346517i</v>
      </c>
      <c r="AT258" s="67">
        <f t="shared" si="162"/>
        <v>1.2406531581365414</v>
      </c>
      <c r="AU258" s="64">
        <f t="shared" si="163"/>
        <v>59.62877023321434</v>
      </c>
    </row>
    <row r="259" spans="14:47" x14ac:dyDescent="0.25">
      <c r="N259" s="11">
        <v>41</v>
      </c>
      <c r="O259" s="53">
        <f t="shared" si="164"/>
        <v>2570.3957827688669</v>
      </c>
      <c r="P259" s="51" t="str">
        <f t="shared" si="132"/>
        <v>122.692307692308</v>
      </c>
      <c r="Q259" s="18" t="str">
        <f t="shared" si="133"/>
        <v>1+16.5540298413279i</v>
      </c>
      <c r="R259" s="18">
        <f t="shared" si="141"/>
        <v>16.584206462401951</v>
      </c>
      <c r="S259" s="18">
        <f t="shared" si="142"/>
        <v>1.5104613944370933</v>
      </c>
      <c r="T259" s="18" t="str">
        <f t="shared" si="134"/>
        <v>1+0.00331080596826559i</v>
      </c>
      <c r="U259" s="18">
        <f t="shared" si="143"/>
        <v>1.0000054807030607</v>
      </c>
      <c r="V259" s="18">
        <f t="shared" si="144"/>
        <v>3.3107938712823976E-3</v>
      </c>
      <c r="W259" s="32" t="str">
        <f t="shared" si="135"/>
        <v>1-0.156831163584442i</v>
      </c>
      <c r="X259" s="18">
        <f t="shared" si="145"/>
        <v>1.0122233023751479</v>
      </c>
      <c r="Y259" s="18">
        <f t="shared" si="146"/>
        <v>-0.15556400474475743</v>
      </c>
      <c r="Z259" s="32" t="str">
        <f t="shared" si="136"/>
        <v>0.999784263363916+0.0167357825291918i</v>
      </c>
      <c r="AA259" s="18">
        <f t="shared" si="147"/>
        <v>0.99992432698029321</v>
      </c>
      <c r="AB259" s="18">
        <f t="shared" si="148"/>
        <v>1.6737830592368098E-2</v>
      </c>
      <c r="AC259" s="69" t="str">
        <f t="shared" si="149"/>
        <v>-0.812144805970389-7.44501338264634i</v>
      </c>
      <c r="AD259" s="67">
        <f t="shared" si="150"/>
        <v>17.488684322248968</v>
      </c>
      <c r="AE259" s="64">
        <f t="shared" si="151"/>
        <v>-96.225536470203679</v>
      </c>
      <c r="AF259" s="32" t="str">
        <f t="shared" si="137"/>
        <v>-0.0000198412698412698</v>
      </c>
      <c r="AG259" s="32" t="str">
        <f t="shared" si="138"/>
        <v>0.000558799446351168i</v>
      </c>
      <c r="AH259" s="32">
        <f t="shared" si="152"/>
        <v>5.5879944635116795E-4</v>
      </c>
      <c r="AI259" s="32">
        <f t="shared" si="153"/>
        <v>1.5707963267948966</v>
      </c>
      <c r="AJ259" s="32" t="str">
        <f t="shared" si="139"/>
        <v>1+0.193960111212352i</v>
      </c>
      <c r="AK259" s="32">
        <f t="shared" si="154"/>
        <v>1.0186366009237582</v>
      </c>
      <c r="AL259" s="32">
        <f t="shared" si="155"/>
        <v>0.19158128654287396</v>
      </c>
      <c r="AM259" s="32" t="str">
        <f t="shared" si="140"/>
        <v>1+4.1943874049671i</v>
      </c>
      <c r="AN259" s="32">
        <f t="shared" si="156"/>
        <v>4.311946857620887</v>
      </c>
      <c r="AO259" s="32">
        <f t="shared" si="157"/>
        <v>1.3367516597797846</v>
      </c>
      <c r="AP259" s="61" t="str">
        <f t="shared" si="158"/>
        <v>-0.136893026223866+0.0620587470409288i</v>
      </c>
      <c r="AQ259" s="52">
        <f t="shared" si="159"/>
        <v>-16.460647614120216</v>
      </c>
      <c r="AR259" s="64">
        <f t="shared" si="160"/>
        <v>155.61342920989631</v>
      </c>
      <c r="AS259" s="61" t="str">
        <f t="shared" si="161"/>
        <v>0.57320516245126+0.968769723153318i</v>
      </c>
      <c r="AT259" s="67">
        <f t="shared" si="162"/>
        <v>1.0280367081287496</v>
      </c>
      <c r="AU259" s="64">
        <f t="shared" si="163"/>
        <v>59.38789273969261</v>
      </c>
    </row>
    <row r="260" spans="14:47" x14ac:dyDescent="0.25">
      <c r="N260" s="11">
        <v>42</v>
      </c>
      <c r="O260" s="53">
        <f t="shared" si="164"/>
        <v>2630.2679918953822</v>
      </c>
      <c r="P260" s="51" t="str">
        <f t="shared" si="132"/>
        <v>122.692307692308</v>
      </c>
      <c r="Q260" s="18" t="str">
        <f t="shared" si="133"/>
        <v>1+16.9396227306373i</v>
      </c>
      <c r="R260" s="18">
        <f t="shared" si="141"/>
        <v>16.969113655589787</v>
      </c>
      <c r="S260" s="18">
        <f t="shared" si="142"/>
        <v>1.5118315670990439</v>
      </c>
      <c r="T260" s="18" t="str">
        <f t="shared" si="134"/>
        <v>1+0.00338792454612747i</v>
      </c>
      <c r="U260" s="18">
        <f t="shared" si="143"/>
        <v>1.0000057389998971</v>
      </c>
      <c r="V260" s="18">
        <f t="shared" si="144"/>
        <v>3.387911583980462E-3</v>
      </c>
      <c r="W260" s="32" t="str">
        <f t="shared" si="135"/>
        <v>1-0.160484230667196i</v>
      </c>
      <c r="X260" s="18">
        <f t="shared" si="145"/>
        <v>1.0127957288085498</v>
      </c>
      <c r="Y260" s="18">
        <f t="shared" si="146"/>
        <v>-0.15912737027312693</v>
      </c>
      <c r="Z260" s="32" t="str">
        <f t="shared" si="136"/>
        <v>0.999774096009496+0.0171256089824566i</v>
      </c>
      <c r="AA260" s="18">
        <f t="shared" si="147"/>
        <v>0.99992076162795274</v>
      </c>
      <c r="AB260" s="18">
        <f t="shared" si="148"/>
        <v>1.7127803523211704E-2</v>
      </c>
      <c r="AC260" s="69" t="str">
        <f t="shared" si="149"/>
        <v>-0.832359096821846-7.27601542251323i</v>
      </c>
      <c r="AD260" s="67">
        <f t="shared" si="150"/>
        <v>17.294338886266761</v>
      </c>
      <c r="AE260" s="64">
        <f t="shared" si="151"/>
        <v>-96.526132670174036</v>
      </c>
      <c r="AF260" s="32" t="str">
        <f t="shared" si="137"/>
        <v>-0.0000198412698412698</v>
      </c>
      <c r="AG260" s="32" t="str">
        <f t="shared" si="138"/>
        <v>0.000571815557541515i</v>
      </c>
      <c r="AH260" s="32">
        <f t="shared" si="152"/>
        <v>5.7181555754151495E-4</v>
      </c>
      <c r="AI260" s="32">
        <f t="shared" si="153"/>
        <v>1.5707963267948966</v>
      </c>
      <c r="AJ260" s="32" t="str">
        <f t="shared" si="139"/>
        <v>1+0.198478022585595i</v>
      </c>
      <c r="AK260" s="32">
        <f t="shared" si="154"/>
        <v>1.0195065107440402</v>
      </c>
      <c r="AL260" s="32">
        <f t="shared" si="155"/>
        <v>0.19593169261735593</v>
      </c>
      <c r="AM260" s="32" t="str">
        <f t="shared" si="140"/>
        <v>1+4.29208723841349i</v>
      </c>
      <c r="AN260" s="32">
        <f t="shared" si="156"/>
        <v>4.4070412821020799</v>
      </c>
      <c r="AO260" s="32">
        <f t="shared" si="157"/>
        <v>1.34189298667723</v>
      </c>
      <c r="AP260" s="61" t="str">
        <f t="shared" si="158"/>
        <v>-0.136659513674028+0.0618226333966205i</v>
      </c>
      <c r="AQ260" s="52">
        <f t="shared" si="159"/>
        <v>-16.478587770013469</v>
      </c>
      <c r="AR260" s="64">
        <f t="shared" si="160"/>
        <v>155.65874563498105</v>
      </c>
      <c r="AS260" s="61" t="str">
        <f t="shared" si="161"/>
        <v>0.563572223428019+0.942878097828226i</v>
      </c>
      <c r="AT260" s="67">
        <f t="shared" si="162"/>
        <v>0.815751116253292</v>
      </c>
      <c r="AU260" s="64">
        <f t="shared" si="163"/>
        <v>59.132612964806981</v>
      </c>
    </row>
    <row r="261" spans="14:47" x14ac:dyDescent="0.25">
      <c r="N261" s="11">
        <v>43</v>
      </c>
      <c r="O261" s="53">
        <f t="shared" si="164"/>
        <v>2691.5348039269184</v>
      </c>
      <c r="P261" s="51" t="str">
        <f t="shared" si="132"/>
        <v>122.692307692308</v>
      </c>
      <c r="Q261" s="18" t="str">
        <f t="shared" si="133"/>
        <v>1+17.334197232141i</v>
      </c>
      <c r="R261" s="18">
        <f t="shared" si="141"/>
        <v>17.363017988897113</v>
      </c>
      <c r="S261" s="18">
        <f t="shared" si="142"/>
        <v>1.5131707650391553</v>
      </c>
      <c r="T261" s="18" t="str">
        <f t="shared" si="134"/>
        <v>1+0.0034668394464282i</v>
      </c>
      <c r="U261" s="18">
        <f t="shared" si="143"/>
        <v>1.0000060094698169</v>
      </c>
      <c r="V261" s="18">
        <f t="shared" si="144"/>
        <v>3.4668255572419516E-3</v>
      </c>
      <c r="W261" s="32" t="str">
        <f t="shared" si="135"/>
        <v>1-0.16422238861331i</v>
      </c>
      <c r="X261" s="18">
        <f t="shared" si="145"/>
        <v>1.0133947863107748</v>
      </c>
      <c r="Y261" s="18">
        <f t="shared" si="146"/>
        <v>-0.16276952239320164</v>
      </c>
      <c r="Z261" s="32" t="str">
        <f t="shared" si="136"/>
        <v>0.999763449482424+0.0175245156602883i</v>
      </c>
      <c r="AA261" s="18">
        <f t="shared" si="147"/>
        <v>0.99991702834291352</v>
      </c>
      <c r="AB261" s="18">
        <f t="shared" si="148"/>
        <v>1.7526867154782556E-2</v>
      </c>
      <c r="AC261" s="69" t="str">
        <f t="shared" si="149"/>
        <v>-0.851669815837794-7.11076820039065i</v>
      </c>
      <c r="AD261" s="67">
        <f t="shared" si="150"/>
        <v>17.100188620054848</v>
      </c>
      <c r="AE261" s="64">
        <f t="shared" si="151"/>
        <v>-96.829886229133578</v>
      </c>
      <c r="AF261" s="32" t="str">
        <f t="shared" si="137"/>
        <v>-0.0000198412698412698</v>
      </c>
      <c r="AG261" s="32" t="str">
        <f t="shared" si="138"/>
        <v>0.000585134852909345i</v>
      </c>
      <c r="AH261" s="32">
        <f t="shared" si="152"/>
        <v>5.85134852909345E-4</v>
      </c>
      <c r="AI261" s="32">
        <f t="shared" si="153"/>
        <v>1.5707963267948966</v>
      </c>
      <c r="AJ261" s="32" t="str">
        <f t="shared" si="139"/>
        <v>1+0.203101169633581i</v>
      </c>
      <c r="AK261" s="32">
        <f t="shared" si="154"/>
        <v>1.0204166232997818</v>
      </c>
      <c r="AL261" s="32">
        <f t="shared" si="155"/>
        <v>0.20037566762784878</v>
      </c>
      <c r="AM261" s="32" t="str">
        <f t="shared" si="140"/>
        <v>1+4.39206279332619i</v>
      </c>
      <c r="AN261" s="32">
        <f t="shared" si="156"/>
        <v>4.5044661815269791</v>
      </c>
      <c r="AO261" s="32">
        <f t="shared" si="157"/>
        <v>1.3469292126664234</v>
      </c>
      <c r="AP261" s="61" t="str">
        <f t="shared" si="158"/>
        <v>-0.136415848349562+0.0616151023385963i</v>
      </c>
      <c r="AQ261" s="52">
        <f t="shared" si="159"/>
        <v>-16.496413957326396</v>
      </c>
      <c r="AR261" s="64">
        <f t="shared" si="160"/>
        <v>155.69267911647304</v>
      </c>
      <c r="AS261" s="61" t="str">
        <f t="shared" si="161"/>
        <v>0.554311970814334+0.91754575361184i</v>
      </c>
      <c r="AT261" s="67">
        <f t="shared" si="162"/>
        <v>0.60377466272845393</v>
      </c>
      <c r="AU261" s="64">
        <f t="shared" si="163"/>
        <v>58.862792887339474</v>
      </c>
    </row>
    <row r="262" spans="14:47" x14ac:dyDescent="0.25">
      <c r="N262" s="11">
        <v>44</v>
      </c>
      <c r="O262" s="53">
        <f t="shared" si="164"/>
        <v>2754.228703338169</v>
      </c>
      <c r="P262" s="51" t="str">
        <f t="shared" si="132"/>
        <v>122.692307692308</v>
      </c>
      <c r="Q262" s="18" t="str">
        <f t="shared" si="133"/>
        <v>1+17.7379625544624i</v>
      </c>
      <c r="R262" s="18">
        <f t="shared" si="141"/>
        <v>17.76612832283698</v>
      </c>
      <c r="S262" s="18">
        <f t="shared" si="142"/>
        <v>1.5144796790927468</v>
      </c>
      <c r="T262" s="18" t="str">
        <f t="shared" si="134"/>
        <v>1+0.00354759251089248i</v>
      </c>
      <c r="U262" s="18">
        <f t="shared" si="143"/>
        <v>1.0000062926865128</v>
      </c>
      <c r="V262" s="18">
        <f t="shared" si="144"/>
        <v>3.5475776283663382E-3</v>
      </c>
      <c r="W262" s="32" t="str">
        <f t="shared" si="135"/>
        <v>1-0.168047619443607i</v>
      </c>
      <c r="X262" s="18">
        <f t="shared" si="145"/>
        <v>1.0140216972040901</v>
      </c>
      <c r="Y262" s="18">
        <f t="shared" si="146"/>
        <v>-0.16649200551274004</v>
      </c>
      <c r="Z262" s="32" t="str">
        <f t="shared" si="136"/>
        <v>0.99975230119999+0.0179327140682873i</v>
      </c>
      <c r="AA262" s="18">
        <f t="shared" si="147"/>
        <v>0.99991311922013038</v>
      </c>
      <c r="AB262" s="18">
        <f t="shared" si="148"/>
        <v>1.7935233741951363E-2</v>
      </c>
      <c r="AC262" s="69" t="str">
        <f t="shared" si="149"/>
        <v>-0.870117091531138-6.94919119944934i</v>
      </c>
      <c r="AD262" s="67">
        <f t="shared" si="150"/>
        <v>16.906245091324553</v>
      </c>
      <c r="AE262" s="64">
        <f t="shared" si="151"/>
        <v>-97.136934981284512</v>
      </c>
      <c r="AF262" s="32" t="str">
        <f t="shared" si="137"/>
        <v>-0.0000198412698412698</v>
      </c>
      <c r="AG262" s="32" t="str">
        <f t="shared" si="138"/>
        <v>0.000598764394521363i</v>
      </c>
      <c r="AH262" s="32">
        <f t="shared" si="152"/>
        <v>5.9876439452136295E-4</v>
      </c>
      <c r="AI262" s="32">
        <f t="shared" si="153"/>
        <v>1.5707963267948966</v>
      </c>
      <c r="AJ262" s="32" t="str">
        <f t="shared" si="139"/>
        <v>1+0.207832003610068i</v>
      </c>
      <c r="AK262" s="32">
        <f t="shared" si="154"/>
        <v>1.0213687589331168</v>
      </c>
      <c r="AL262" s="32">
        <f t="shared" si="155"/>
        <v>0.20491486538530967</v>
      </c>
      <c r="AM262" s="32" t="str">
        <f t="shared" si="140"/>
        <v>1+4.49436707806773i</v>
      </c>
      <c r="AN262" s="32">
        <f t="shared" si="156"/>
        <v>4.604273605295309</v>
      </c>
      <c r="AO262" s="32">
        <f t="shared" si="157"/>
        <v>1.3518619856702112</v>
      </c>
      <c r="AP262" s="61" t="str">
        <f t="shared" si="158"/>
        <v>-0.136161629003246+0.0614357677190755i</v>
      </c>
      <c r="AQ262" s="52">
        <f t="shared" si="159"/>
        <v>-16.514159000586176</v>
      </c>
      <c r="AR262" s="64">
        <f t="shared" si="160"/>
        <v>155.71522931700846</v>
      </c>
      <c r="AS262" s="61" t="str">
        <f t="shared" si="161"/>
        <v>0.54540545697126+0.892756882448339i</v>
      </c>
      <c r="AT262" s="67">
        <f t="shared" si="162"/>
        <v>0.39208609073837836</v>
      </c>
      <c r="AU262" s="64">
        <f t="shared" si="163"/>
        <v>58.578294335723911</v>
      </c>
    </row>
    <row r="263" spans="14:47" x14ac:dyDescent="0.25">
      <c r="N263" s="11">
        <v>45</v>
      </c>
      <c r="O263" s="53">
        <f t="shared" si="164"/>
        <v>2818.3829312644561</v>
      </c>
      <c r="P263" s="51" t="str">
        <f t="shared" si="132"/>
        <v>122.692307692308</v>
      </c>
      <c r="Q263" s="18" t="str">
        <f t="shared" si="133"/>
        <v>1+18.1511327793198i</v>
      </c>
      <c r="R263" s="18">
        <f t="shared" si="141"/>
        <v>18.17865839858645</v>
      </c>
      <c r="S263" s="18">
        <f t="shared" si="142"/>
        <v>1.5157589853131832</v>
      </c>
      <c r="T263" s="18" t="str">
        <f t="shared" si="134"/>
        <v>1+0.00363022655586396i</v>
      </c>
      <c r="U263" s="18">
        <f t="shared" si="143"/>
        <v>1.0000065892507144</v>
      </c>
      <c r="V263" s="18">
        <f t="shared" si="144"/>
        <v>3.630210608955564E-3</v>
      </c>
      <c r="W263" s="32" t="str">
        <f t="shared" si="135"/>
        <v>1-0.171961951346106i</v>
      </c>
      <c r="X263" s="18">
        <f t="shared" si="145"/>
        <v>1.0146777383537893</v>
      </c>
      <c r="Y263" s="18">
        <f t="shared" si="146"/>
        <v>-0.17029638047707618</v>
      </c>
      <c r="Z263" s="32" t="str">
        <f t="shared" si="136"/>
        <v>0.999740627515192+0.0183504206386529i</v>
      </c>
      <c r="AA263" s="18">
        <f t="shared" si="147"/>
        <v>0.99990902598290687</v>
      </c>
      <c r="AB263" s="18">
        <f t="shared" si="148"/>
        <v>1.8353120519777815E-2</v>
      </c>
      <c r="AC263" s="69" t="str">
        <f t="shared" si="149"/>
        <v>-0.887739293680884-6.79120537991913i</v>
      </c>
      <c r="AD263" s="67">
        <f t="shared" si="150"/>
        <v>16.712520230836418</v>
      </c>
      <c r="AE263" s="64">
        <f t="shared" si="151"/>
        <v>-97.447417085209494</v>
      </c>
      <c r="AF263" s="32" t="str">
        <f t="shared" si="137"/>
        <v>-0.0000198412698412698</v>
      </c>
      <c r="AG263" s="32" t="str">
        <f t="shared" si="138"/>
        <v>0.000612711408940939i</v>
      </c>
      <c r="AH263" s="32">
        <f t="shared" si="152"/>
        <v>6.12711408940939E-4</v>
      </c>
      <c r="AI263" s="32">
        <f t="shared" si="153"/>
        <v>1.5707963267948966</v>
      </c>
      <c r="AJ263" s="32" t="str">
        <f t="shared" si="139"/>
        <v>1+0.212673032865851i</v>
      </c>
      <c r="AK263" s="32">
        <f t="shared" si="154"/>
        <v>1.0223648169358917</v>
      </c>
      <c r="AL263" s="32">
        <f t="shared" si="155"/>
        <v>0.20955094406323757</v>
      </c>
      <c r="AM263" s="32" t="str">
        <f t="shared" si="140"/>
        <v>1+4.59905433572404i</v>
      </c>
      <c r="AN263" s="32">
        <f t="shared" si="156"/>
        <v>4.7065168418844632</v>
      </c>
      <c r="AO263" s="32">
        <f t="shared" si="157"/>
        <v>1.3566929604716995</v>
      </c>
      <c r="AP263" s="61" t="str">
        <f t="shared" si="158"/>
        <v>-0.135896442231443+0.0612842413283429i</v>
      </c>
      <c r="AQ263" s="52">
        <f t="shared" si="159"/>
        <v>-16.531855639958366</v>
      </c>
      <c r="AR263" s="64">
        <f t="shared" si="160"/>
        <v>155.72639604233194</v>
      </c>
      <c r="AS263" s="61" t="str">
        <f t="shared" si="161"/>
        <v>0.536834481053591+0.868496220483453i</v>
      </c>
      <c r="AT263" s="67">
        <f t="shared" si="162"/>
        <v>0.18066459087805578</v>
      </c>
      <c r="AU263" s="64">
        <f t="shared" si="163"/>
        <v>58.278978957122433</v>
      </c>
    </row>
    <row r="264" spans="14:47" x14ac:dyDescent="0.25">
      <c r="N264" s="11">
        <v>46</v>
      </c>
      <c r="O264" s="53">
        <f t="shared" si="164"/>
        <v>2884.0315031266077</v>
      </c>
      <c r="P264" s="51" t="str">
        <f t="shared" si="132"/>
        <v>122.692307692308</v>
      </c>
      <c r="Q264" s="18" t="str">
        <f t="shared" si="133"/>
        <v>1+18.5739269750354i</v>
      </c>
      <c r="R264" s="18">
        <f t="shared" si="141"/>
        <v>18.60082695134675</v>
      </c>
      <c r="S264" s="18">
        <f t="shared" si="142"/>
        <v>1.5170093452461206</v>
      </c>
      <c r="T264" s="18" t="str">
        <f t="shared" si="134"/>
        <v>1+0.00371478539500708i</v>
      </c>
      <c r="U264" s="18">
        <f t="shared" si="143"/>
        <v>1.000006899791462</v>
      </c>
      <c r="V264" s="18">
        <f t="shared" si="144"/>
        <v>3.7147683075932419E-3</v>
      </c>
      <c r="W264" s="32" t="str">
        <f t="shared" si="135"/>
        <v>1-0.175967459751394i</v>
      </c>
      <c r="X264" s="18">
        <f t="shared" si="145"/>
        <v>1.0153642434571735</v>
      </c>
      <c r="Y264" s="18">
        <f t="shared" si="146"/>
        <v>-0.17418422370107853</v>
      </c>
      <c r="Z264" s="32" t="str">
        <f t="shared" si="136"/>
        <v>0.999728403666579+0.0187778568449377i</v>
      </c>
      <c r="AA264" s="18">
        <f t="shared" si="147"/>
        <v>0.99990473996547047</v>
      </c>
      <c r="AB264" s="18">
        <f t="shared" si="148"/>
        <v>1.8780749822097986E-2</v>
      </c>
      <c r="AC264" s="69" t="str">
        <f t="shared" si="149"/>
        <v>-0.904573108377785-6.63673316792147i</v>
      </c>
      <c r="AD264" s="67">
        <f t="shared" si="150"/>
        <v>16.51902635060625</v>
      </c>
      <c r="AE264" s="64">
        <f t="shared" si="151"/>
        <v>-97.76147099534478</v>
      </c>
      <c r="AF264" s="32" t="str">
        <f t="shared" si="137"/>
        <v>-0.0000198412698412698</v>
      </c>
      <c r="AG264" s="32" t="str">
        <f t="shared" si="138"/>
        <v>0.00062698329105973i</v>
      </c>
      <c r="AH264" s="32">
        <f t="shared" si="152"/>
        <v>6.2698329105973004E-4</v>
      </c>
      <c r="AI264" s="32">
        <f t="shared" si="153"/>
        <v>1.5707963267948966</v>
      </c>
      <c r="AJ264" s="32" t="str">
        <f t="shared" si="139"/>
        <v>1+0.21762682417872i</v>
      </c>
      <c r="AK264" s="32">
        <f t="shared" si="154"/>
        <v>1.0234067786574972</v>
      </c>
      <c r="AL264" s="32">
        <f t="shared" si="155"/>
        <v>0.21428556424540768</v>
      </c>
      <c r="AM264" s="32" t="str">
        <f t="shared" si="140"/>
        <v>1+4.70618007286483i</v>
      </c>
      <c r="AN264" s="32">
        <f t="shared" si="156"/>
        <v>4.8112504485040075</v>
      </c>
      <c r="AO264" s="32">
        <f t="shared" si="157"/>
        <v>1.3614237961302338</v>
      </c>
      <c r="AP264" s="61" t="str">
        <f t="shared" si="158"/>
        <v>-0.13561986245734+0.0611601317738003i</v>
      </c>
      <c r="AQ264" s="52">
        <f t="shared" si="159"/>
        <v>-16.549536565122011</v>
      </c>
      <c r="AR264" s="64">
        <f t="shared" si="160"/>
        <v>155.72617920510007</v>
      </c>
      <c r="AS264" s="61" t="str">
        <f t="shared" si="161"/>
        <v>0.528581555638432+0.844749028892155i</v>
      </c>
      <c r="AT264" s="67">
        <f t="shared" si="162"/>
        <v>-3.0510214515759242E-2</v>
      </c>
      <c r="AU264" s="64">
        <f t="shared" si="163"/>
        <v>57.964708209755287</v>
      </c>
    </row>
    <row r="265" spans="14:47" x14ac:dyDescent="0.25">
      <c r="N265" s="11">
        <v>47</v>
      </c>
      <c r="O265" s="53">
        <f t="shared" si="164"/>
        <v>2951.2092266663876</v>
      </c>
      <c r="P265" s="51" t="str">
        <f t="shared" si="132"/>
        <v>122.692307692308</v>
      </c>
      <c r="Q265" s="18" t="str">
        <f t="shared" si="133"/>
        <v>1+19.0065693126882i</v>
      </c>
      <c r="R265" s="18">
        <f t="shared" si="141"/>
        <v>19.032857826349169</v>
      </c>
      <c r="S265" s="18">
        <f t="shared" si="142"/>
        <v>1.5182314062015825</v>
      </c>
      <c r="T265" s="18" t="str">
        <f t="shared" si="134"/>
        <v>1+0.00380131386253764i</v>
      </c>
      <c r="U265" s="18">
        <f t="shared" si="143"/>
        <v>1.0000072249674408</v>
      </c>
      <c r="V265" s="18">
        <f t="shared" si="144"/>
        <v>3.8012955530509806E-3</v>
      </c>
      <c r="W265" s="32" t="str">
        <f t="shared" si="135"/>
        <v>1-0.180066268433047i</v>
      </c>
      <c r="X265" s="18">
        <f t="shared" si="145"/>
        <v>1.0160826054152301</v>
      </c>
      <c r="Y265" s="18">
        <f t="shared" si="146"/>
        <v>-0.17815712620804894</v>
      </c>
      <c r="Z265" s="32" t="str">
        <f t="shared" si="136"/>
        <v>0.999715603725729+0.0192152493194759i</v>
      </c>
      <c r="AA265" s="18">
        <f t="shared" si="147"/>
        <v>0.99990025209473188</v>
      </c>
      <c r="AB265" s="18">
        <f t="shared" si="148"/>
        <v>1.9218349203059912E-2</v>
      </c>
      <c r="AC265" s="69" t="str">
        <f t="shared" si="149"/>
        <v>-0.92065361004888-6.48569844308512i</v>
      </c>
      <c r="AD265" s="67">
        <f t="shared" si="150"/>
        <v>16.325776162313264</v>
      </c>
      <c r="AE265" s="64">
        <f t="shared" si="151"/>
        <v>-98.079235428135831</v>
      </c>
      <c r="AF265" s="32" t="str">
        <f t="shared" si="137"/>
        <v>-0.0000198412698412698</v>
      </c>
      <c r="AG265" s="32" t="str">
        <f t="shared" si="138"/>
        <v>0.000641587608018547i</v>
      </c>
      <c r="AH265" s="32">
        <f t="shared" si="152"/>
        <v>6.4158760801854696E-4</v>
      </c>
      <c r="AI265" s="32">
        <f t="shared" si="153"/>
        <v>1.5707963267948966</v>
      </c>
      <c r="AJ265" s="32" t="str">
        <f t="shared" si="139"/>
        <v>1+0.2226960041144i</v>
      </c>
      <c r="AK265" s="32">
        <f t="shared" si="154"/>
        <v>1.0244967107065404</v>
      </c>
      <c r="AL265" s="32">
        <f t="shared" si="155"/>
        <v>0.21912038682379523</v>
      </c>
      <c r="AM265" s="32" t="str">
        <f t="shared" si="140"/>
        <v>1+4.8158010889739i</v>
      </c>
      <c r="AN265" s="32">
        <f t="shared" si="156"/>
        <v>4.9185302813505372</v>
      </c>
      <c r="AO265" s="32">
        <f t="shared" si="157"/>
        <v>1.3660561535664169</v>
      </c>
      <c r="AP265" s="61" t="str">
        <f t="shared" si="158"/>
        <v>-0.135331451954413+0.0610630433235151i</v>
      </c>
      <c r="AQ265" s="52">
        <f t="shared" si="159"/>
        <v>-16.567234449339573</v>
      </c>
      <c r="AR265" s="64">
        <f t="shared" si="160"/>
        <v>155.71457880695337</v>
      </c>
      <c r="AS265" s="61" t="str">
        <f t="shared" si="161"/>
        <v>0.520629874808348+0.82150107596482i</v>
      </c>
      <c r="AT265" s="67">
        <f t="shared" si="162"/>
        <v>-0.24145828702630501</v>
      </c>
      <c r="AU265" s="64">
        <f t="shared" si="163"/>
        <v>57.635343378817545</v>
      </c>
    </row>
    <row r="266" spans="14:47" x14ac:dyDescent="0.25">
      <c r="N266" s="11">
        <v>48</v>
      </c>
      <c r="O266" s="53">
        <f t="shared" si="164"/>
        <v>3019.9517204020176</v>
      </c>
      <c r="P266" s="51" t="str">
        <f t="shared" si="132"/>
        <v>122.692307692308</v>
      </c>
      <c r="Q266" s="18" t="str">
        <f t="shared" si="133"/>
        <v>1+19.4492891849722i</v>
      </c>
      <c r="R266" s="18">
        <f t="shared" si="141"/>
        <v>19.474980097568178</v>
      </c>
      <c r="S266" s="18">
        <f t="shared" si="142"/>
        <v>1.519425801523655</v>
      </c>
      <c r="T266" s="18" t="str">
        <f t="shared" si="134"/>
        <v>1+0.00388985783699445i</v>
      </c>
      <c r="U266" s="18">
        <f t="shared" si="143"/>
        <v>1.0000075654683778</v>
      </c>
      <c r="V266" s="18">
        <f t="shared" si="144"/>
        <v>3.8898382180340418E-3</v>
      </c>
      <c r="W266" s="32" t="str">
        <f t="shared" si="135"/>
        <v>1-0.184260550633682i</v>
      </c>
      <c r="X266" s="18">
        <f t="shared" si="145"/>
        <v>1.0168342787887452</v>
      </c>
      <c r="Y266" s="18">
        <f t="shared" si="146"/>
        <v>-0.18221669257000764</v>
      </c>
      <c r="Z266" s="32" t="str">
        <f t="shared" si="136"/>
        <v>0.999702200542251+0.0196628299735472i</v>
      </c>
      <c r="AA266" s="18">
        <f t="shared" si="147"/>
        <v>0.99989555287119258</v>
      </c>
      <c r="AB266" s="18">
        <f t="shared" si="148"/>
        <v>1.9666151561688484E-2</v>
      </c>
      <c r="AC266" s="69" t="str">
        <f t="shared" si="149"/>
        <v>-0.936014330566416-6.33802652506602i</v>
      </c>
      <c r="AD266" s="67">
        <f t="shared" si="150"/>
        <v>16.132782795898443</v>
      </c>
      <c r="AE266" s="64">
        <f t="shared" si="151"/>
        <v>-98.400849322549362</v>
      </c>
      <c r="AF266" s="32" t="str">
        <f t="shared" si="137"/>
        <v>-0.0000198412698412698</v>
      </c>
      <c r="AG266" s="32" t="str">
        <f t="shared" si="138"/>
        <v>0.00065653210321955i</v>
      </c>
      <c r="AH266" s="32">
        <f t="shared" si="152"/>
        <v>6.5653210321955002E-4</v>
      </c>
      <c r="AI266" s="32">
        <f t="shared" si="153"/>
        <v>1.5707963267948966</v>
      </c>
      <c r="AJ266" s="32" t="str">
        <f t="shared" si="139"/>
        <v>1+0.227883260419191i</v>
      </c>
      <c r="AK266" s="32">
        <f t="shared" si="154"/>
        <v>1.0256367682465761</v>
      </c>
      <c r="AL266" s="32">
        <f t="shared" si="155"/>
        <v>0.22405707074013631</v>
      </c>
      <c r="AM266" s="32" t="str">
        <f t="shared" si="140"/>
        <v>1+4.92797550656502i</v>
      </c>
      <c r="AN266" s="32">
        <f t="shared" si="156"/>
        <v>5.0284135264817644</v>
      </c>
      <c r="AO266" s="32">
        <f t="shared" si="157"/>
        <v>1.3705916933097471</v>
      </c>
      <c r="AP266" s="61" t="str">
        <f t="shared" si="158"/>
        <v>-0.13503076091437+0.0609925747142933i</v>
      </c>
      <c r="AQ266" s="52">
        <f t="shared" si="159"/>
        <v>-16.584981983590044</v>
      </c>
      <c r="AR266" s="64">
        <f t="shared" si="160"/>
        <v>155.69159493886349</v>
      </c>
      <c r="AS266" s="61" t="str">
        <f t="shared" si="161"/>
        <v>0.5129632836544+0.798738620384404i</v>
      </c>
      <c r="AT266" s="67">
        <f t="shared" si="162"/>
        <v>-0.45219918769159595</v>
      </c>
      <c r="AU266" s="64">
        <f t="shared" si="163"/>
        <v>57.290745616314126</v>
      </c>
    </row>
    <row r="267" spans="14:47" x14ac:dyDescent="0.25">
      <c r="N267" s="11">
        <v>49</v>
      </c>
      <c r="O267" s="53">
        <f t="shared" si="164"/>
        <v>3090.295432513592</v>
      </c>
      <c r="P267" s="51" t="str">
        <f t="shared" si="132"/>
        <v>122.692307692308</v>
      </c>
      <c r="Q267" s="18" t="str">
        <f t="shared" si="133"/>
        <v>1+19.9023213278239i</v>
      </c>
      <c r="R267" s="18">
        <f t="shared" si="141"/>
        <v>19.927428189205802</v>
      </c>
      <c r="S267" s="18">
        <f t="shared" si="142"/>
        <v>1.5205931508576087</v>
      </c>
      <c r="T267" s="18" t="str">
        <f t="shared" si="134"/>
        <v>1+0.00398046426556479i</v>
      </c>
      <c r="U267" s="18">
        <f t="shared" si="143"/>
        <v>1.0000079220165055</v>
      </c>
      <c r="V267" s="18">
        <f t="shared" si="144"/>
        <v>3.9804432434789585E-3</v>
      </c>
      <c r="W267" s="32" t="str">
        <f t="shared" si="135"/>
        <v>1-0.18855253021724i</v>
      </c>
      <c r="X267" s="18">
        <f t="shared" si="145"/>
        <v>1.0176207823405157</v>
      </c>
      <c r="Y267" s="18">
        <f t="shared" si="146"/>
        <v>-0.18636453974363515</v>
      </c>
      <c r="Z267" s="32" t="str">
        <f t="shared" si="136"/>
        <v>0.999688165686197+0.0201208361203388i</v>
      </c>
      <c r="AA267" s="18">
        <f t="shared" si="147"/>
        <v>0.99989063234896602</v>
      </c>
      <c r="AB267" s="18">
        <f t="shared" si="148"/>
        <v>2.0124395269563278E-2</v>
      </c>
      <c r="AC267" s="69" t="str">
        <f t="shared" si="149"/>
        <v>-0.950687325544151-6.19364415908242i</v>
      </c>
      <c r="AD267" s="67">
        <f t="shared" si="150"/>
        <v>15.940059818335753</v>
      </c>
      <c r="AE267" s="64">
        <f t="shared" si="151"/>
        <v>-98.726451794605367</v>
      </c>
      <c r="AF267" s="32" t="str">
        <f t="shared" si="137"/>
        <v>-0.0000198412698412698</v>
      </c>
      <c r="AG267" s="32" t="str">
        <f t="shared" si="138"/>
        <v>0.00067182470043191i</v>
      </c>
      <c r="AH267" s="32">
        <f t="shared" si="152"/>
        <v>6.7182470043190997E-4</v>
      </c>
      <c r="AI267" s="32">
        <f t="shared" si="153"/>
        <v>1.5707963267948966</v>
      </c>
      <c r="AJ267" s="32" t="str">
        <f t="shared" si="139"/>
        <v>1+0.233191343445049i</v>
      </c>
      <c r="AK267" s="32">
        <f t="shared" si="154"/>
        <v>1.02682919838584</v>
      </c>
      <c r="AL267" s="32">
        <f t="shared" si="155"/>
        <v>0.22909727056462487</v>
      </c>
      <c r="AM267" s="32" t="str">
        <f t="shared" si="140"/>
        <v>1+5.04276280199918i</v>
      </c>
      <c r="AN267" s="32">
        <f t="shared" si="156"/>
        <v>5.1409587313288769</v>
      </c>
      <c r="AO267" s="32">
        <f t="shared" si="157"/>
        <v>1.3750320734023658</v>
      </c>
      <c r="AP267" s="61" t="str">
        <f t="shared" si="158"/>
        <v>-0.134717327564077+0.0609483179245725i</v>
      </c>
      <c r="AQ267" s="52">
        <f t="shared" si="159"/>
        <v>-16.602811910633832</v>
      </c>
      <c r="AR267" s="64">
        <f t="shared" si="160"/>
        <v>155.65722779975866</v>
      </c>
      <c r="AS267" s="61" t="str">
        <f t="shared" si="161"/>
        <v>0.505566249165775+0.776448395630312i</v>
      </c>
      <c r="AT267" s="67">
        <f t="shared" si="162"/>
        <v>-0.66275209229807697</v>
      </c>
      <c r="AU267" s="64">
        <f t="shared" si="163"/>
        <v>56.930776005153255</v>
      </c>
    </row>
    <row r="268" spans="14:47" x14ac:dyDescent="0.25">
      <c r="N268" s="11">
        <v>50</v>
      </c>
      <c r="O268" s="53">
        <f t="shared" si="164"/>
        <v>3162.2776601683804</v>
      </c>
      <c r="P268" s="51" t="str">
        <f t="shared" si="132"/>
        <v>122.692307692308</v>
      </c>
      <c r="Q268" s="18" t="str">
        <f t="shared" si="133"/>
        <v>1+20.365905944882i</v>
      </c>
      <c r="R268" s="18">
        <f t="shared" si="141"/>
        <v>20.3904420000102</v>
      </c>
      <c r="S268" s="18">
        <f t="shared" si="142"/>
        <v>1.5217340604142704</v>
      </c>
      <c r="T268" s="18" t="str">
        <f t="shared" si="134"/>
        <v>1+0.0040731811889764i</v>
      </c>
      <c r="U268" s="18">
        <f t="shared" si="143"/>
        <v>1.0000082953680927</v>
      </c>
      <c r="V268" s="18">
        <f t="shared" si="144"/>
        <v>4.0731586634156873E-3</v>
      </c>
      <c r="W268" s="32" t="str">
        <f t="shared" si="135"/>
        <v>1-0.192944482848107i</v>
      </c>
      <c r="X268" s="18">
        <f t="shared" si="145"/>
        <v>1.0184437016652041</v>
      </c>
      <c r="Y268" s="18">
        <f t="shared" si="146"/>
        <v>-0.19060229579596352</v>
      </c>
      <c r="Z268" s="32" t="str">
        <f t="shared" si="136"/>
        <v>0.999673469387755+0.0205895106007721i</v>
      </c>
      <c r="AA268" s="18">
        <f t="shared" si="147"/>
        <v>0.99988548011486289</v>
      </c>
      <c r="AB268" s="18">
        <f t="shared" si="148"/>
        <v>2.0593324301698485E-2</v>
      </c>
      <c r="AC268" s="69" t="str">
        <f t="shared" si="149"/>
        <v>-0.964703237922201-6.05247950056965i</v>
      </c>
      <c r="AD268" s="67">
        <f t="shared" si="150"/>
        <v>15.747621252556751</v>
      </c>
      <c r="AE268" s="64">
        <f t="shared" si="151"/>
        <v>-99.056182085587025</v>
      </c>
      <c r="AF268" s="32" t="str">
        <f t="shared" si="137"/>
        <v>-0.0000198412698412698</v>
      </c>
      <c r="AG268" s="32" t="str">
        <f t="shared" si="138"/>
        <v>0.000687473507993091i</v>
      </c>
      <c r="AH268" s="32">
        <f t="shared" si="152"/>
        <v>6.8747350799309103E-4</v>
      </c>
      <c r="AI268" s="32">
        <f t="shared" si="153"/>
        <v>1.5707963267948966</v>
      </c>
      <c r="AJ268" s="32" t="str">
        <f t="shared" si="139"/>
        <v>1+0.238623067607852i</v>
      </c>
      <c r="AK268" s="32">
        <f t="shared" si="154"/>
        <v>1.0280763436606162</v>
      </c>
      <c r="AL268" s="32">
        <f t="shared" si="155"/>
        <v>0.23424263390532177</v>
      </c>
      <c r="AM268" s="32" t="str">
        <f t="shared" si="140"/>
        <v>1+5.16022383701981i</v>
      </c>
      <c r="AN268" s="32">
        <f t="shared" si="156"/>
        <v>5.2562258368669292</v>
      </c>
      <c r="AO268" s="32">
        <f t="shared" si="157"/>
        <v>1.3793789474523763</v>
      </c>
      <c r="AP268" s="61" t="str">
        <f t="shared" si="158"/>
        <v>-0.134390678336193+0.0609298569127608i</v>
      </c>
      <c r="AQ268" s="52">
        <f t="shared" si="159"/>
        <v>-16.620757058877849</v>
      </c>
      <c r="AR268" s="64">
        <f t="shared" si="160"/>
        <v>155.61147773341591</v>
      </c>
      <c r="AS268" s="61" t="str">
        <f t="shared" si="161"/>
        <v>0.498423832474613+0.754617595447581i</v>
      </c>
      <c r="AT268" s="67">
        <f t="shared" si="162"/>
        <v>-0.87313580632109877</v>
      </c>
      <c r="AU268" s="64">
        <f t="shared" si="163"/>
        <v>56.555295647828899</v>
      </c>
    </row>
    <row r="269" spans="14:47" x14ac:dyDescent="0.25">
      <c r="N269" s="11">
        <v>51</v>
      </c>
      <c r="O269" s="53">
        <f t="shared" si="164"/>
        <v>3235.9365692962833</v>
      </c>
      <c r="P269" s="51" t="str">
        <f t="shared" si="132"/>
        <v>122.692307692308</v>
      </c>
      <c r="Q269" s="18" t="str">
        <f t="shared" si="133"/>
        <v>1+20.8402888348467i</v>
      </c>
      <c r="R269" s="18">
        <f t="shared" si="141"/>
        <v>20.864267030495846</v>
      </c>
      <c r="S269" s="18">
        <f t="shared" si="142"/>
        <v>1.5228491232314965</v>
      </c>
      <c r="T269" s="18" t="str">
        <f t="shared" si="134"/>
        <v>1+0.00416805776696934i</v>
      </c>
      <c r="U269" s="18">
        <f t="shared" si="143"/>
        <v>1.0000086863150484</v>
      </c>
      <c r="V269" s="18">
        <f t="shared" si="144"/>
        <v>4.1680336304074977E-3</v>
      </c>
      <c r="W269" s="32" t="str">
        <f t="shared" si="135"/>
        <v>1-0.197438737197702i</v>
      </c>
      <c r="X269" s="18">
        <f t="shared" si="145"/>
        <v>1.0193046919082749</v>
      </c>
      <c r="Y269" s="18">
        <f t="shared" si="146"/>
        <v>-0.19493159851375863</v>
      </c>
      <c r="Z269" s="32" t="str">
        <f t="shared" si="136"/>
        <v>0.999658080474106+0.0210691019122604i</v>
      </c>
      <c r="AA269" s="18">
        <f t="shared" si="147"/>
        <v>0.99988008526650995</v>
      </c>
      <c r="AB269" s="18">
        <f t="shared" si="148"/>
        <v>2.1073188370715177E-2</v>
      </c>
      <c r="AC269" s="69" t="str">
        <f t="shared" si="149"/>
        <v>-0.978091358938788-5.91446209905076i</v>
      </c>
      <c r="AD269" s="67">
        <f t="shared" si="150"/>
        <v>15.555481596504144</v>
      </c>
      <c r="AE269" s="64">
        <f t="shared" si="151"/>
        <v>-99.390179503574728</v>
      </c>
      <c r="AF269" s="32" t="str">
        <f t="shared" si="137"/>
        <v>-0.0000198412698412698</v>
      </c>
      <c r="AG269" s="32" t="str">
        <f t="shared" si="138"/>
        <v>0.000703486823107996i</v>
      </c>
      <c r="AH269" s="32">
        <f t="shared" si="152"/>
        <v>7.0348682310799595E-4</v>
      </c>
      <c r="AI269" s="32">
        <f t="shared" si="153"/>
        <v>1.5707963267948966</v>
      </c>
      <c r="AJ269" s="32" t="str">
        <f t="shared" si="139"/>
        <v>1+0.244181312879652i</v>
      </c>
      <c r="AK269" s="32">
        <f t="shared" si="154"/>
        <v>1.0293806456115397</v>
      </c>
      <c r="AL269" s="32">
        <f t="shared" si="155"/>
        <v>0.23949479864203554</v>
      </c>
      <c r="AM269" s="32" t="str">
        <f t="shared" si="140"/>
        <v>1+5.28042089102247i</v>
      </c>
      <c r="AN269" s="32">
        <f t="shared" si="156"/>
        <v>5.3742762104628135</v>
      </c>
      <c r="AO269" s="32">
        <f t="shared" si="157"/>
        <v>1.3836339628301713</v>
      </c>
      <c r="AP269" s="61" t="str">
        <f t="shared" si="158"/>
        <v>-0.13405032809848+0.0609367663219884i</v>
      </c>
      <c r="AQ269" s="52">
        <f t="shared" si="159"/>
        <v>-16.638850375908135</v>
      </c>
      <c r="AR269" s="64">
        <f t="shared" si="160"/>
        <v>155.5543452836057</v>
      </c>
      <c r="AS269" s="61" t="str">
        <f t="shared" si="161"/>
        <v>0.491521662426146+0.73323386032257i</v>
      </c>
      <c r="AT269" s="67">
        <f t="shared" si="162"/>
        <v>-1.0833687794039899</v>
      </c>
      <c r="AU269" s="64">
        <f t="shared" si="163"/>
        <v>56.164165780030977</v>
      </c>
    </row>
    <row r="270" spans="14:47" x14ac:dyDescent="0.25">
      <c r="N270" s="11">
        <v>52</v>
      </c>
      <c r="O270" s="53">
        <f t="shared" si="164"/>
        <v>3311.3112148259115</v>
      </c>
      <c r="P270" s="51" t="str">
        <f t="shared" si="132"/>
        <v>122.692307692308</v>
      </c>
      <c r="Q270" s="18" t="str">
        <f t="shared" si="133"/>
        <v>1+21.3257215218055i</v>
      </c>
      <c r="R270" s="18">
        <f t="shared" si="141"/>
        <v>21.349154513132326</v>
      </c>
      <c r="S270" s="18">
        <f t="shared" si="142"/>
        <v>1.5239389194326078</v>
      </c>
      <c r="T270" s="18" t="str">
        <f t="shared" si="134"/>
        <v>1+0.00426514430436111i</v>
      </c>
      <c r="U270" s="18">
        <f t="shared" si="143"/>
        <v>1.0000090956866028</v>
      </c>
      <c r="V270" s="18">
        <f t="shared" si="144"/>
        <v>4.2651184415818397E-3</v>
      </c>
      <c r="W270" s="32" t="str">
        <f t="shared" si="135"/>
        <v>1-0.20203767617917i</v>
      </c>
      <c r="X270" s="18">
        <f t="shared" si="145"/>
        <v>1.0202054805753002</v>
      </c>
      <c r="Y270" s="18">
        <f t="shared" si="146"/>
        <v>-0.19935409389038725</v>
      </c>
      <c r="Z270" s="32" t="str">
        <f t="shared" si="136"/>
        <v>0.9996419663033+0.0215598643404652i</v>
      </c>
      <c r="AA270" s="18">
        <f t="shared" si="147"/>
        <v>0.9998744363894434</v>
      </c>
      <c r="AB270" s="18">
        <f t="shared" si="148"/>
        <v>2.1564243064399614E-2</v>
      </c>
      <c r="AC270" s="69" t="str">
        <f>(IMDIV(IMPRODUCT(P270,T270,W270),IMPRODUCT(Q270,Z270)))</f>
        <v>-0.990879686585192-5.77952288131238i</v>
      </c>
      <c r="AD270" s="67">
        <f t="shared" si="150"/>
        <v>15.363655842285626</v>
      </c>
      <c r="AE270" s="64">
        <f t="shared" si="151"/>
        <v>-99.728583357947812</v>
      </c>
      <c r="AF270" s="32" t="str">
        <f t="shared" si="137"/>
        <v>-0.0000198412698412698</v>
      </c>
      <c r="AG270" s="32" t="str">
        <f t="shared" si="138"/>
        <v>0.000719873136248263i</v>
      </c>
      <c r="AH270" s="32">
        <f t="shared" si="152"/>
        <v>7.1987313624826299E-4</v>
      </c>
      <c r="AI270" s="32">
        <f t="shared" si="153"/>
        <v>1.5707963267948966</v>
      </c>
      <c r="AJ270" s="32" t="str">
        <f t="shared" si="139"/>
        <v>1+0.249869026315663i</v>
      </c>
      <c r="AK270" s="32">
        <f t="shared" si="154"/>
        <v>1.0307446484517577</v>
      </c>
      <c r="AL270" s="32">
        <f t="shared" si="155"/>
        <v>0.24485538997857412</v>
      </c>
      <c r="AM270" s="32" t="str">
        <f t="shared" si="140"/>
        <v>1+5.40341769407621i</v>
      </c>
      <c r="AN270" s="32">
        <f t="shared" si="156"/>
        <v>5.4951726794210813</v>
      </c>
      <c r="AO270" s="32">
        <f t="shared" si="157"/>
        <v>1.3877987590012648</v>
      </c>
      <c r="AP270" s="61" t="str">
        <f t="shared" si="158"/>
        <v>-0.133695780446967+0.0609686101526314i</v>
      </c>
      <c r="AQ270" s="52">
        <f t="shared" si="159"/>
        <v>-16.657124961555837</v>
      </c>
      <c r="AR270" s="64">
        <f t="shared" si="160"/>
        <v>155.4858312674636</v>
      </c>
      <c r="AS270" s="61" t="str">
        <f t="shared" si="161"/>
        <v>0.484845910446001+0.712285264908588i</v>
      </c>
      <c r="AT270" s="67">
        <f t="shared" si="162"/>
        <v>-1.293469119270207</v>
      </c>
      <c r="AU270" s="64">
        <f t="shared" si="163"/>
        <v>55.757247909515783</v>
      </c>
    </row>
    <row r="271" spans="14:47" x14ac:dyDescent="0.25">
      <c r="N271" s="11">
        <v>53</v>
      </c>
      <c r="O271" s="53">
        <f t="shared" si="164"/>
        <v>3388.4415613920314</v>
      </c>
      <c r="P271" s="51" t="str">
        <f t="shared" si="132"/>
        <v>122.692307692308</v>
      </c>
      <c r="Q271" s="18" t="str">
        <f t="shared" si="133"/>
        <v>1+21.8224613885945i</v>
      </c>
      <c r="R271" s="18">
        <f t="shared" si="141"/>
        <v>21.845361545570668</v>
      </c>
      <c r="S271" s="18">
        <f t="shared" si="142"/>
        <v>1.5250040164816665</v>
      </c>
      <c r="T271" s="18" t="str">
        <f t="shared" si="134"/>
        <v>1+0.0043644922777189i</v>
      </c>
      <c r="U271" s="18">
        <f t="shared" si="143"/>
        <v>1.0000095243510645</v>
      </c>
      <c r="V271" s="18">
        <f t="shared" si="144"/>
        <v>4.3644645652658794E-3</v>
      </c>
      <c r="W271" s="32" t="str">
        <f t="shared" si="135"/>
        <v>1-0.206743738210833i</v>
      </c>
      <c r="X271" s="18">
        <f t="shared" si="145"/>
        <v>1.0211478704327739</v>
      </c>
      <c r="Y271" s="18">
        <f t="shared" si="146"/>
        <v>-0.20387143448383918</v>
      </c>
      <c r="Z271" s="32" t="str">
        <f t="shared" si="136"/>
        <v>0.999625092695021+0.0220620580941218i</v>
      </c>
      <c r="AA271" s="18">
        <f t="shared" si="147"/>
        <v>0.99986852153314509</v>
      </c>
      <c r="AB271" s="18">
        <f t="shared" si="148"/>
        <v>2.2066749986745796E-2</v>
      </c>
      <c r="AC271" s="69" t="str">
        <f t="shared" si="149"/>
        <v>-1.00309498163747-5.64759413396952i</v>
      </c>
      <c r="AD271" s="67">
        <f t="shared" si="150"/>
        <v>15.172159495396018</v>
      </c>
      <c r="AE271" s="64">
        <f t="shared" si="151"/>
        <v>-100.0715328864872</v>
      </c>
      <c r="AF271" s="32" t="str">
        <f t="shared" si="137"/>
        <v>-0.0000198412698412698</v>
      </c>
      <c r="AG271" s="32" t="str">
        <f t="shared" si="138"/>
        <v>0.000736641135654017i</v>
      </c>
      <c r="AH271" s="32">
        <f t="shared" si="152"/>
        <v>7.36641135654017E-4</v>
      </c>
      <c r="AI271" s="32">
        <f t="shared" si="153"/>
        <v>1.5707963267948966</v>
      </c>
      <c r="AJ271" s="32" t="str">
        <f t="shared" si="139"/>
        <v>1+0.255689223616833i</v>
      </c>
      <c r="AK271" s="32">
        <f t="shared" si="154"/>
        <v>1.0321710028254905</v>
      </c>
      <c r="AL271" s="32">
        <f t="shared" si="155"/>
        <v>0.25032601730761395</v>
      </c>
      <c r="AM271" s="32" t="str">
        <f t="shared" si="140"/>
        <v>1+5.52927946071402i</v>
      </c>
      <c r="AN271" s="32">
        <f t="shared" si="156"/>
        <v>5.6189795652479395</v>
      </c>
      <c r="AO271" s="32">
        <f t="shared" si="157"/>
        <v>1.391874965989178</v>
      </c>
      <c r="AP271" s="61" t="str">
        <f t="shared" si="158"/>
        <v>-0.133326528068356+0.0610249404044116i</v>
      </c>
      <c r="AQ271" s="52">
        <f t="shared" si="159"/>
        <v>-16.675614100359596</v>
      </c>
      <c r="AR271" s="64">
        <f t="shared" si="160"/>
        <v>155.40593686704969</v>
      </c>
      <c r="AS271" s="61" t="str">
        <f t="shared" si="161"/>
        <v>0.47838326667831+0.691760306346979i</v>
      </c>
      <c r="AT271" s="67">
        <f t="shared" si="162"/>
        <v>-1.5034546049635762</v>
      </c>
      <c r="AU271" s="64">
        <f t="shared" si="163"/>
        <v>55.334403980562492</v>
      </c>
    </row>
    <row r="272" spans="14:47" x14ac:dyDescent="0.25">
      <c r="N272" s="11">
        <v>54</v>
      </c>
      <c r="O272" s="53">
        <f t="shared" si="164"/>
        <v>3467.3685045253224</v>
      </c>
      <c r="P272" s="51" t="str">
        <f t="shared" si="132"/>
        <v>122.692307692308</v>
      </c>
      <c r="Q272" s="18" t="str">
        <f t="shared" si="133"/>
        <v>1+22.3307718132661i</v>
      </c>
      <c r="R272" s="18">
        <f t="shared" si="141"/>
        <v>22.353151226978262</v>
      </c>
      <c r="S272" s="18">
        <f t="shared" si="142"/>
        <v>1.5260449694354885</v>
      </c>
      <c r="T272" s="18" t="str">
        <f t="shared" si="134"/>
        <v>1+0.00446615436265322i</v>
      </c>
      <c r="U272" s="18">
        <f t="shared" si="143"/>
        <v>1.0000099732176631</v>
      </c>
      <c r="V272" s="18">
        <f t="shared" si="144"/>
        <v>4.4661246682408074E-3</v>
      </c>
      <c r="W272" s="32" t="str">
        <f t="shared" si="135"/>
        <v>1-0.211559418509072i</v>
      </c>
      <c r="X272" s="18">
        <f t="shared" si="145"/>
        <v>1.0221337425013894</v>
      </c>
      <c r="Y272" s="18">
        <f t="shared" si="146"/>
        <v>-0.20848527763947977</v>
      </c>
      <c r="Z272" s="32" t="str">
        <f t="shared" si="136"/>
        <v>0.999607423858084+0.0225759494430057i</v>
      </c>
      <c r="AA272" s="18">
        <f t="shared" si="147"/>
        <v>0.99986232818595999</v>
      </c>
      <c r="AB272" s="18">
        <f t="shared" si="148"/>
        <v>2.2580976902583552E-2</v>
      </c>
      <c r="AC272" s="69" t="str">
        <f t="shared" si="149"/>
        <v>-1.01476282135609-5.51860948549591i</v>
      </c>
      <c r="AD272" s="67">
        <f t="shared" si="150"/>
        <v>14.981008593969422</v>
      </c>
      <c r="AE272" s="64">
        <f t="shared" si="151"/>
        <v>-100.41916717471054</v>
      </c>
      <c r="AF272" s="32" t="str">
        <f t="shared" si="137"/>
        <v>-0.0000198412698412698</v>
      </c>
      <c r="AG272" s="32" t="str">
        <f t="shared" si="138"/>
        <v>0.000753799711940492i</v>
      </c>
      <c r="AH272" s="32">
        <f t="shared" si="152"/>
        <v>7.53799711940492E-4</v>
      </c>
      <c r="AI272" s="32">
        <f t="shared" si="153"/>
        <v>1.5707963267948966</v>
      </c>
      <c r="AJ272" s="32" t="str">
        <f t="shared" si="139"/>
        <v>1+0.261644990728812i</v>
      </c>
      <c r="AK272" s="32">
        <f t="shared" si="154"/>
        <v>1.0336624696550998</v>
      </c>
      <c r="AL272" s="32">
        <f t="shared" si="155"/>
        <v>0.25590827088272688</v>
      </c>
      <c r="AM272" s="32" t="str">
        <f t="shared" si="140"/>
        <v>1+5.65807292451057i</v>
      </c>
      <c r="AN272" s="32">
        <f t="shared" si="156"/>
        <v>5.7457627186544693</v>
      </c>
      <c r="AO272" s="32">
        <f t="shared" si="157"/>
        <v>1.3958642029620389</v>
      </c>
      <c r="AP272" s="61" t="str">
        <f t="shared" si="158"/>
        <v>-0.132942053177243+0.0611052956903419i</v>
      </c>
      <c r="AQ272" s="52">
        <f t="shared" si="159"/>
        <v>-16.694351293284679</v>
      </c>
      <c r="AR272" s="64">
        <f t="shared" si="160"/>
        <v>155.31466373904649</v>
      </c>
      <c r="AS272" s="61" t="str">
        <f t="shared" si="161"/>
        <v>0.472120917369764+0.671647893430705i</v>
      </c>
      <c r="AT272" s="67">
        <f t="shared" si="162"/>
        <v>-1.7133426993152587</v>
      </c>
      <c r="AU272" s="64">
        <f t="shared" si="163"/>
        <v>54.895496564335915</v>
      </c>
    </row>
    <row r="273" spans="14:47" x14ac:dyDescent="0.25">
      <c r="N273" s="11">
        <v>55</v>
      </c>
      <c r="O273" s="53">
        <f t="shared" si="164"/>
        <v>3548.1338923357539</v>
      </c>
      <c r="P273" s="51" t="str">
        <f t="shared" si="132"/>
        <v>122.692307692308</v>
      </c>
      <c r="Q273" s="18" t="str">
        <f t="shared" si="133"/>
        <v>1+22.8509223087356i</v>
      </c>
      <c r="R273" s="18">
        <f t="shared" si="141"/>
        <v>22.872792797554705</v>
      </c>
      <c r="S273" s="18">
        <f t="shared" si="142"/>
        <v>1.5270623211923013</v>
      </c>
      <c r="T273" s="18" t="str">
        <f t="shared" si="134"/>
        <v>1+0.00457018446174713i</v>
      </c>
      <c r="U273" s="18">
        <f t="shared" si="143"/>
        <v>1.0000104432384764</v>
      </c>
      <c r="V273" s="18">
        <f t="shared" si="144"/>
        <v>4.5701526436289176E-3</v>
      </c>
      <c r="W273" s="32" t="str">
        <f t="shared" si="135"/>
        <v>1-0.216487270411324i</v>
      </c>
      <c r="X273" s="18">
        <f t="shared" si="145"/>
        <v>1.0231650591425343</v>
      </c>
      <c r="Y273" s="18">
        <f t="shared" si="146"/>
        <v>-0.21319728357102774</v>
      </c>
      <c r="Z273" s="32" t="str">
        <f t="shared" si="136"/>
        <v>0.999588922314516+0.0231018108591122i</v>
      </c>
      <c r="AA273" s="18">
        <f t="shared" si="147"/>
        <v>0.99985584324884835</v>
      </c>
      <c r="AB273" s="18">
        <f t="shared" si="148"/>
        <v>2.3107197885896495E-2</v>
      </c>
      <c r="AC273" s="69" t="str">
        <f t="shared" si="149"/>
        <v>-1.02590765094209-5.39250388779079i</v>
      </c>
      <c r="AD273" s="67">
        <f t="shared" si="150"/>
        <v>14.790219728017881</v>
      </c>
      <c r="AE273" s="64">
        <f t="shared" si="151"/>
        <v>-100.77162506706854</v>
      </c>
      <c r="AF273" s="32" t="str">
        <f t="shared" si="137"/>
        <v>-0.0000198412698412698</v>
      </c>
      <c r="AG273" s="32" t="str">
        <f t="shared" si="138"/>
        <v>0.000771357962811956i</v>
      </c>
      <c r="AH273" s="32">
        <f t="shared" si="152"/>
        <v>7.71357962811956E-4</v>
      </c>
      <c r="AI273" s="32">
        <f t="shared" si="153"/>
        <v>1.5707963267948966</v>
      </c>
      <c r="AJ273" s="32" t="str">
        <f t="shared" si="139"/>
        <v>1+0.267739485478155i</v>
      </c>
      <c r="AK273" s="32">
        <f t="shared" si="154"/>
        <v>1.0352219240743055</v>
      </c>
      <c r="AL273" s="32">
        <f t="shared" si="155"/>
        <v>0.26160371829253848</v>
      </c>
      <c r="AM273" s="32" t="str">
        <f t="shared" si="140"/>
        <v>1+5.78986637346511i</v>
      </c>
      <c r="AN273" s="32">
        <f t="shared" si="156"/>
        <v>5.8755895553197064</v>
      </c>
      <c r="AO273" s="32">
        <f t="shared" si="157"/>
        <v>1.3997680769366543</v>
      </c>
      <c r="AP273" s="61" t="str">
        <f t="shared" si="158"/>
        <v>-0.132541828033864+0.0612091998253165i</v>
      </c>
      <c r="AQ273" s="52">
        <f t="shared" si="159"/>
        <v>-16.713370288556707</v>
      </c>
      <c r="AR273" s="64">
        <f t="shared" si="160"/>
        <v>155.21201414252209</v>
      </c>
      <c r="AS273" s="61" t="str">
        <f t="shared" si="161"/>
        <v>0.466046523476374+0.651937336558674i</v>
      </c>
      <c r="AT273" s="67">
        <f t="shared" si="162"/>
        <v>-1.9231505605388308</v>
      </c>
      <c r="AU273" s="64">
        <f t="shared" si="163"/>
        <v>54.44038907545356</v>
      </c>
    </row>
    <row r="274" spans="14:47" x14ac:dyDescent="0.25">
      <c r="N274" s="11">
        <v>56</v>
      </c>
      <c r="O274" s="53">
        <f t="shared" si="164"/>
        <v>3630.7805477010188</v>
      </c>
      <c r="P274" s="51" t="str">
        <f t="shared" si="132"/>
        <v>122.692307692308</v>
      </c>
      <c r="Q274" s="18" t="str">
        <f t="shared" si="133"/>
        <v>1+23.3831886656812i</v>
      </c>
      <c r="R274" s="18">
        <f t="shared" si="141"/>
        <v>23.404561781303272</v>
      </c>
      <c r="S274" s="18">
        <f t="shared" si="142"/>
        <v>1.5280566027369678</v>
      </c>
      <c r="T274" s="18" t="str">
        <f t="shared" si="134"/>
        <v>1+0.00467663773313625i</v>
      </c>
      <c r="U274" s="18">
        <f t="shared" si="143"/>
        <v>1.0000109354104518</v>
      </c>
      <c r="V274" s="18">
        <f t="shared" si="144"/>
        <v>4.6766036394284656E-3</v>
      </c>
      <c r="W274" s="32" t="str">
        <f t="shared" si="135"/>
        <v>1-0.221529906729897i</v>
      </c>
      <c r="X274" s="18">
        <f t="shared" si="145"/>
        <v>1.0242438672385386</v>
      </c>
      <c r="Y274" s="18">
        <f t="shared" si="146"/>
        <v>-0.21800911329321565</v>
      </c>
      <c r="Z274" s="32" t="str">
        <f t="shared" si="136"/>
        <v>0.999569548820063+0.023639921161125i</v>
      </c>
      <c r="AA274" s="18">
        <f t="shared" si="147"/>
        <v>0.99984905300792704</v>
      </c>
      <c r="AB274" s="18">
        <f t="shared" si="148"/>
        <v>2.3645693471939403E-2</v>
      </c>
      <c r="AC274" s="69" t="str">
        <f t="shared" si="149"/>
        <v>-1.03655283283558-5.26921359734907i</v>
      </c>
      <c r="AD274" s="67">
        <f t="shared" si="150"/>
        <v>14.599810058609403</v>
      </c>
      <c r="AE274" s="64">
        <f t="shared" si="151"/>
        <v>-101.12904506962499</v>
      </c>
      <c r="AF274" s="32" t="str">
        <f t="shared" si="137"/>
        <v>-0.0000198412698412698</v>
      </c>
      <c r="AG274" s="32" t="str">
        <f t="shared" si="138"/>
        <v>0.000789325197885434i</v>
      </c>
      <c r="AH274" s="32">
        <f t="shared" si="152"/>
        <v>7.8932519788543396E-4</v>
      </c>
      <c r="AI274" s="32">
        <f t="shared" si="153"/>
        <v>1.5707963267948966</v>
      </c>
      <c r="AJ274" s="32" t="str">
        <f t="shared" si="139"/>
        <v>1+0.273975939246652i</v>
      </c>
      <c r="AK274" s="32">
        <f t="shared" si="154"/>
        <v>1.036852359444721</v>
      </c>
      <c r="AL274" s="32">
        <f t="shared" si="155"/>
        <v>0.26741390073253651</v>
      </c>
      <c r="AM274" s="32" t="str">
        <f t="shared" si="140"/>
        <v>1+5.92472968620885i</v>
      </c>
      <c r="AN274" s="32">
        <f t="shared" si="156"/>
        <v>6.0085290924355537</v>
      </c>
      <c r="AO274" s="32">
        <f t="shared" si="157"/>
        <v>1.4035881815939761</v>
      </c>
      <c r="AP274" s="61" t="str">
        <f t="shared" si="158"/>
        <v>-0.132125315548247+0.0613361603927126i</v>
      </c>
      <c r="AQ274" s="52">
        <f t="shared" si="159"/>
        <v>-16.732705111461581</v>
      </c>
      <c r="AR274" s="64">
        <f t="shared" si="160"/>
        <v>155.09799108467189</v>
      </c>
      <c r="AS274" s="61" t="str">
        <f t="shared" si="161"/>
        <v>0.460148200471295+0.632618338430536i</v>
      </c>
      <c r="AT274" s="67">
        <f t="shared" si="162"/>
        <v>-2.1328950528521777</v>
      </c>
      <c r="AU274" s="64">
        <f t="shared" si="163"/>
        <v>53.968946015046917</v>
      </c>
    </row>
    <row r="275" spans="14:47" x14ac:dyDescent="0.25">
      <c r="N275" s="11">
        <v>57</v>
      </c>
      <c r="O275" s="53">
        <f t="shared" si="164"/>
        <v>3715.352290971724</v>
      </c>
      <c r="P275" s="51" t="str">
        <f t="shared" ref="P275:P338" si="165">COMPLEX(Adc,0)</f>
        <v>122.692307692308</v>
      </c>
      <c r="Q275" s="18" t="str">
        <f t="shared" ref="Q275:Q338" si="166">IMSUM(COMPLEX(1,0),IMDIV(COMPLEX(0,2*PI()*O275),COMPLEX(wp_lf,0)))</f>
        <v>1+23.9278530987703i</v>
      </c>
      <c r="R275" s="18">
        <f t="shared" si="141"/>
        <v>23.948740132130776</v>
      </c>
      <c r="S275" s="18">
        <f t="shared" si="142"/>
        <v>1.5290283333827037</v>
      </c>
      <c r="T275" s="18" t="str">
        <f t="shared" ref="T275:T338" si="167">IMSUM(COMPLEX(1,0),IMDIV(COMPLEX(0,2*PI()*O275),COMPLEX(wz_esr,0)))</f>
        <v>1+0.00478557061975407i</v>
      </c>
      <c r="U275" s="18">
        <f t="shared" si="143"/>
        <v>1.0000114507775182</v>
      </c>
      <c r="V275" s="18">
        <f t="shared" si="144"/>
        <v>4.7855340877105846E-3</v>
      </c>
      <c r="W275" s="32" t="str">
        <f t="shared" ref="W275:W338" si="168">IMSUB(COMPLEX(1,0),IMDIV(COMPLEX(0,2*PI()*O275),COMPLEX(wz_rhp,0)))</f>
        <v>1-0.226690001137313i</v>
      </c>
      <c r="X275" s="18">
        <f t="shared" si="145"/>
        <v>1.0253723014669525</v>
      </c>
      <c r="Y275" s="18">
        <f t="shared" si="146"/>
        <v>-0.22292242639957263</v>
      </c>
      <c r="Z275" s="32" t="str">
        <f t="shared" ref="Z275:Z338" si="169">IMSUM(COMPLEX(1,0),IMDIV(COMPLEX(0,2*PI()*O275),COMPLEX(Q*(wsl/2),0)),IMDIV(IMPOWER(COMPLEX(0,2*PI()*O275),2),IMPOWER(COMPLEX(wsl/2,0),2)))</f>
        <v>0.999549262280946+0.0241905656622488i</v>
      </c>
      <c r="AA275" s="18">
        <f t="shared" si="147"/>
        <v>0.9998419431057306</v>
      </c>
      <c r="AB275" s="18">
        <f t="shared" si="148"/>
        <v>2.4196750813266932E-2</v>
      </c>
      <c r="AC275" s="69" t="str">
        <f t="shared" si="149"/>
        <v>-1.04672069394022-5.14867615609517i</v>
      </c>
      <c r="AD275" s="67">
        <f t="shared" si="150"/>
        <v>14.409797336930254</v>
      </c>
      <c r="AE275" s="64">
        <f t="shared" si="151"/>
        <v>-101.49156524385045</v>
      </c>
      <c r="AF275" s="32" t="str">
        <f t="shared" ref="AF275:AF338" si="170">COMPLEX(Adc_ea,0)</f>
        <v>-0.0000198412698412698</v>
      </c>
      <c r="AG275" s="32" t="str">
        <f t="shared" ref="AG275:AG338" si="171">COMPLEX(0,2*PI()*O275*wp0_ea)</f>
        <v>0.000807710943626783i</v>
      </c>
      <c r="AH275" s="32">
        <f t="shared" si="152"/>
        <v>8.0771094362678305E-4</v>
      </c>
      <c r="AI275" s="32">
        <f t="shared" si="153"/>
        <v>1.5707963267948966</v>
      </c>
      <c r="AJ275" s="32" t="str">
        <f t="shared" ref="AJ275:AJ338" si="172">IMSUM(COMPLEX(1,0),IMDIV(COMPLEX(0,2*PI()*O275),COMPLEX(wp1_ea,0)))</f>
        <v>1+0.280357658684636i</v>
      </c>
      <c r="AK275" s="32">
        <f t="shared" si="154"/>
        <v>1.038556891452332</v>
      </c>
      <c r="AL275" s="32">
        <f t="shared" si="155"/>
        <v>0.27334032907060252</v>
      </c>
      <c r="AM275" s="32" t="str">
        <f t="shared" ref="AM275:AM338" si="173">IMSUM(COMPLEX(1,0),IMDIV(COMPLEX(0,2*PI()*O275),COMPLEX(wz_ea,0)))</f>
        <v>1+6.06273436905526i</v>
      </c>
      <c r="AN275" s="32">
        <f t="shared" si="156"/>
        <v>6.1446519860545301</v>
      </c>
      <c r="AO275" s="32">
        <f t="shared" si="157"/>
        <v>1.4073260962000118</v>
      </c>
      <c r="AP275" s="61" t="str">
        <f t="shared" si="158"/>
        <v>-0.131691969976701+0.0614856672929828i</v>
      </c>
      <c r="AQ275" s="52">
        <f t="shared" si="159"/>
        <v>-16.752390092961178</v>
      </c>
      <c r="AR275" s="64">
        <f t="shared" si="160"/>
        <v>154.97259848442022</v>
      </c>
      <c r="AS275" s="61" t="str">
        <f t="shared" si="161"/>
        <v>0.454414499333348+0.613680985431953i</v>
      </c>
      <c r="AT275" s="67">
        <f t="shared" si="162"/>
        <v>-2.3425927560309265</v>
      </c>
      <c r="AU275" s="64">
        <f t="shared" si="163"/>
        <v>53.481033240569801</v>
      </c>
    </row>
    <row r="276" spans="14:47" x14ac:dyDescent="0.25">
      <c r="N276" s="11">
        <v>58</v>
      </c>
      <c r="O276" s="53">
        <f t="shared" si="164"/>
        <v>3801.8939632056172</v>
      </c>
      <c r="P276" s="51" t="str">
        <f t="shared" si="165"/>
        <v>122.692307692308</v>
      </c>
      <c r="Q276" s="18" t="str">
        <f t="shared" si="166"/>
        <v>1+24.485204396295i</v>
      </c>
      <c r="R276" s="18">
        <f t="shared" ref="R276:R339" si="174">IMABS(Q276)</f>
        <v>24.505616383358813</v>
      </c>
      <c r="S276" s="18">
        <f t="shared" ref="S276:S339" si="175">IMARGUMENT(Q276)</f>
        <v>1.5299780210092435</v>
      </c>
      <c r="T276" s="18" t="str">
        <f t="shared" si="167"/>
        <v>1+0.00489704087925901i</v>
      </c>
      <c r="U276" s="18">
        <f t="shared" ref="U276:U339" si="176">IMABS(T276)</f>
        <v>1.0000119904328013</v>
      </c>
      <c r="V276" s="18">
        <f t="shared" ref="V276:V339" si="177">IMARGUMENT(T276)</f>
        <v>4.8970017344945049E-3</v>
      </c>
      <c r="W276" s="32" t="str">
        <f t="shared" si="168"/>
        <v>1-0.231970289583928i</v>
      </c>
      <c r="X276" s="18">
        <f t="shared" ref="X276:X339" si="178">IMABS(W276)</f>
        <v>1.0265525876688693</v>
      </c>
      <c r="Y276" s="18">
        <f t="shared" ref="Y276:Y339" si="179">IMARGUMENT(W276)</f>
        <v>-0.22793887867882526</v>
      </c>
      <c r="Z276" s="32" t="str">
        <f t="shared" si="169"/>
        <v>0.999528019666695+0.0247540363214866i</v>
      </c>
      <c r="AA276" s="18">
        <f t="shared" ref="AA276:AA339" si="180">IMABS(Z276)</f>
        <v>0.99983449851114381</v>
      </c>
      <c r="AB276" s="18">
        <f t="shared" ref="AB276:AB339" si="181">IMARGUMENT(Z276)</f>
        <v>2.4760663839793313E-2</v>
      </c>
      <c r="AC276" s="69" t="str">
        <f t="shared" ref="AC276:AC339" si="182">(IMDIV(IMPRODUCT(P276,T276,W276),IMPRODUCT(Q276,Z276)))</f>
        <v>-1.05643257085426-5.03083037193672i</v>
      </c>
      <c r="AD276" s="67">
        <f t="shared" ref="AD276:AD339" si="183">20*LOG(IMABS(AC276))</f>
        <v>14.22019992317068</v>
      </c>
      <c r="AE276" s="64">
        <f t="shared" ref="AE276:AE339" si="184">(180/PI())*IMARGUMENT(AC276)</f>
        <v>-101.85932309115636</v>
      </c>
      <c r="AF276" s="32" t="str">
        <f t="shared" si="170"/>
        <v>-0.0000198412698412698</v>
      </c>
      <c r="AG276" s="32" t="str">
        <f t="shared" si="171"/>
        <v>0.000826524948401763i</v>
      </c>
      <c r="AH276" s="32">
        <f t="shared" ref="AH276:AH339" si="185">IMABS(AG276)</f>
        <v>8.2652494840176297E-4</v>
      </c>
      <c r="AI276" s="32">
        <f t="shared" ref="AI276:AI339" si="186">IMARGUMENT(AG276)</f>
        <v>1.5707963267948966</v>
      </c>
      <c r="AJ276" s="32" t="str">
        <f t="shared" si="172"/>
        <v>1+0.286888027464228i</v>
      </c>
      <c r="AK276" s="32">
        <f t="shared" ref="AK276:AK339" si="187">IMABS(AJ276)</f>
        <v>1.040338762280016</v>
      </c>
      <c r="AL276" s="32">
        <f t="shared" ref="AL276:AL339" si="188">IMARGUMENT(AJ276)</f>
        <v>0.2793844797031319</v>
      </c>
      <c r="AM276" s="32" t="str">
        <f t="shared" si="173"/>
        <v>1+6.20395359391393i</v>
      </c>
      <c r="AN276" s="32">
        <f t="shared" ref="AN276:AN339" si="189">IMABS(AM276)</f>
        <v>6.2840305692634537</v>
      </c>
      <c r="AO276" s="32">
        <f t="shared" ref="AO276:AO339" si="190">IMARGUMENT(AM276)</f>
        <v>1.4109833846264341</v>
      </c>
      <c r="AP276" s="61" t="str">
        <f t="shared" ref="AP276:AP339" si="191">IMPRODUCT(AF276,IMDIV(AM276,IMPRODUCT(AG276,AJ276)))</f>
        <v>-0.131241237716638+0.06165719127889i</v>
      </c>
      <c r="AQ276" s="52">
        <f t="shared" ref="AQ276:AQ339" si="192">20*LOG(IMABS(AP276))</f>
        <v>-16.772459896968137</v>
      </c>
      <c r="AR276" s="64">
        <f t="shared" ref="AR276:AR339" si="193">(180/PI())*IMARGUMENT(AP276)</f>
        <v>154.83584135373084</v>
      </c>
      <c r="AS276" s="61" t="str">
        <f t="shared" ref="AS276:AS339" si="194">IMPRODUCT(AC276,AP276)</f>
        <v>0.448834388697235+0.595115739661019i</v>
      </c>
      <c r="AT276" s="67">
        <f t="shared" ref="AT276:AT339" si="195">20*LOG(IMABS(AS276))</f>
        <v>-2.552259973797451</v>
      </c>
      <c r="AU276" s="64">
        <f t="shared" ref="AU276:AU339" si="196">(180/PI())*IMARGUMENT(AS276)</f>
        <v>52.976518262574466</v>
      </c>
    </row>
    <row r="277" spans="14:47" x14ac:dyDescent="0.25">
      <c r="N277" s="11">
        <v>59</v>
      </c>
      <c r="O277" s="53">
        <f t="shared" si="164"/>
        <v>3890.451449942811</v>
      </c>
      <c r="P277" s="51" t="str">
        <f t="shared" si="165"/>
        <v>122.692307692308</v>
      </c>
      <c r="Q277" s="18" t="str">
        <f t="shared" si="166"/>
        <v>1+25.0555380732906i</v>
      </c>
      <c r="R277" s="18">
        <f t="shared" si="174"/>
        <v>25.075485800720088</v>
      </c>
      <c r="S277" s="18">
        <f t="shared" si="175"/>
        <v>1.530906162297395</v>
      </c>
      <c r="T277" s="18" t="str">
        <f t="shared" si="167"/>
        <v>1+0.00501110761465813i</v>
      </c>
      <c r="U277" s="18">
        <f t="shared" si="176"/>
        <v>1.0000125555209423</v>
      </c>
      <c r="V277" s="18">
        <f t="shared" si="177"/>
        <v>5.011065670315706E-3</v>
      </c>
      <c r="W277" s="32" t="str">
        <f t="shared" si="168"/>
        <v>1-0.237373571748571i</v>
      </c>
      <c r="X277" s="18">
        <f t="shared" si="178"/>
        <v>1.0277870463109924</v>
      </c>
      <c r="Y277" s="18">
        <f t="shared" si="179"/>
        <v>-0.23306011956346942</v>
      </c>
      <c r="Z277" s="32" t="str">
        <f t="shared" si="169"/>
        <v>0.999505775918878+0.0253306318984405i</v>
      </c>
      <c r="AA277" s="18">
        <f t="shared" si="180"/>
        <v>0.99982670348794578</v>
      </c>
      <c r="AB277" s="18">
        <f t="shared" si="181"/>
        <v>2.5337733423003755E-2</v>
      </c>
      <c r="AC277" s="69" t="str">
        <f t="shared" si="182"/>
        <v>-1.06570885318658-4.91561629909056i</v>
      </c>
      <c r="AD277" s="67">
        <f t="shared" si="183"/>
        <v>14.031036805167894</v>
      </c>
      <c r="AE277" s="64">
        <f t="shared" si="184"/>
        <v>-102.23245542780543</v>
      </c>
      <c r="AF277" s="32" t="str">
        <f t="shared" si="170"/>
        <v>-0.0000198412698412698</v>
      </c>
      <c r="AG277" s="32" t="str">
        <f t="shared" si="171"/>
        <v>0.000845777187644736i</v>
      </c>
      <c r="AH277" s="32">
        <f t="shared" si="185"/>
        <v>8.4577718764473604E-4</v>
      </c>
      <c r="AI277" s="32">
        <f t="shared" si="186"/>
        <v>1.5707963267948966</v>
      </c>
      <c r="AJ277" s="32" t="str">
        <f t="shared" si="172"/>
        <v>1+0.293570508073393i</v>
      </c>
      <c r="AK277" s="32">
        <f t="shared" si="187"/>
        <v>1.0422013448515934</v>
      </c>
      <c r="AL277" s="32">
        <f t="shared" si="188"/>
        <v>0.28554779019933518</v>
      </c>
      <c r="AM277" s="32" t="str">
        <f t="shared" si="173"/>
        <v>1+6.34846223708713i</v>
      </c>
      <c r="AN277" s="32">
        <f t="shared" si="189"/>
        <v>6.4267388912045673</v>
      </c>
      <c r="AO277" s="32">
        <f t="shared" si="190"/>
        <v>1.4145615944652812</v>
      </c>
      <c r="AP277" s="61" t="str">
        <f t="shared" si="191"/>
        <v>-0.130772558205737+0.0618501824827284i</v>
      </c>
      <c r="AQ277" s="52">
        <f t="shared" si="192"/>
        <v>-16.792949546117633</v>
      </c>
      <c r="AR277" s="64">
        <f t="shared" si="193"/>
        <v>154.68772599644785</v>
      </c>
      <c r="AS277" s="61" t="str">
        <f t="shared" si="194"/>
        <v>0.443397238147536+0.576913431546841i</v>
      </c>
      <c r="AT277" s="67">
        <f t="shared" si="195"/>
        <v>-2.761912740949739</v>
      </c>
      <c r="AU277" s="64">
        <f t="shared" si="196"/>
        <v>52.455270568642497</v>
      </c>
    </row>
    <row r="278" spans="14:47" x14ac:dyDescent="0.25">
      <c r="N278" s="11">
        <v>60</v>
      </c>
      <c r="O278" s="53">
        <f t="shared" si="164"/>
        <v>3981.0717055349769</v>
      </c>
      <c r="P278" s="51" t="str">
        <f t="shared" si="165"/>
        <v>122.692307692308</v>
      </c>
      <c r="Q278" s="18" t="str">
        <f t="shared" si="166"/>
        <v>1+25.6391565282218i</v>
      </c>
      <c r="R278" s="18">
        <f t="shared" si="174"/>
        <v>25.658650538924658</v>
      </c>
      <c r="S278" s="18">
        <f t="shared" si="175"/>
        <v>1.5318132429599569</v>
      </c>
      <c r="T278" s="18" t="str">
        <f t="shared" si="167"/>
        <v>1+0.00512783130564437i</v>
      </c>
      <c r="U278" s="18">
        <f t="shared" si="176"/>
        <v>1.0000131472405247</v>
      </c>
      <c r="V278" s="18">
        <f t="shared" si="177"/>
        <v>5.1277863615036305E-3</v>
      </c>
      <c r="W278" s="32" t="str">
        <f t="shared" si="168"/>
        <v>1-0.242902712522965i</v>
      </c>
      <c r="X278" s="18">
        <f t="shared" si="178"/>
        <v>1.0290780960408272</v>
      </c>
      <c r="Y278" s="18">
        <f t="shared" si="179"/>
        <v>-0.23828778940420225</v>
      </c>
      <c r="Z278" s="32" t="str">
        <f t="shared" si="169"/>
        <v>0.999482483855523+0.0259206581117174i</v>
      </c>
      <c r="AA278" s="18">
        <f t="shared" si="180"/>
        <v>0.99981854156189265</v>
      </c>
      <c r="AB278" s="18">
        <f t="shared" si="181"/>
        <v>2.5928267544444085E-2</v>
      </c>
      <c r="AC278" s="69" t="str">
        <f t="shared" si="182"/>
        <v>-1.07456902503333-4.80297521822852i</v>
      </c>
      <c r="AD278" s="67">
        <f t="shared" si="183"/>
        <v>13.842327616731895</v>
      </c>
      <c r="AE278" s="64">
        <f t="shared" si="184"/>
        <v>-102.61109824984</v>
      </c>
      <c r="AF278" s="32" t="str">
        <f t="shared" si="170"/>
        <v>-0.0000198412698412698</v>
      </c>
      <c r="AG278" s="32" t="str">
        <f t="shared" si="171"/>
        <v>0.000865477869147783i</v>
      </c>
      <c r="AH278" s="32">
        <f t="shared" si="185"/>
        <v>8.6547786914778295E-4</v>
      </c>
      <c r="AI278" s="32">
        <f t="shared" si="186"/>
        <v>1.5707963267948966</v>
      </c>
      <c r="AJ278" s="32" t="str">
        <f t="shared" si="172"/>
        <v>1+0.300408643651803i</v>
      </c>
      <c r="AK278" s="32">
        <f t="shared" si="187"/>
        <v>1.0441481471423084</v>
      </c>
      <c r="AL278" s="32">
        <f t="shared" si="188"/>
        <v>0.29183165473234701</v>
      </c>
      <c r="AM278" s="32" t="str">
        <f t="shared" si="173"/>
        <v>1+6.49633691897024i</v>
      </c>
      <c r="AN278" s="32">
        <f t="shared" si="189"/>
        <v>6.5728527569675368</v>
      </c>
      <c r="AO278" s="32">
        <f t="shared" si="190"/>
        <v>1.4180622562323655</v>
      </c>
      <c r="AP278" s="61" t="str">
        <f t="shared" si="191"/>
        <v>-0.130285364931352+0.0620640689416439i</v>
      </c>
      <c r="AQ278" s="52">
        <f t="shared" si="192"/>
        <v>-16.81389444587062</v>
      </c>
      <c r="AR278" s="64">
        <f t="shared" si="193"/>
        <v>154.52826022443116</v>
      </c>
      <c r="AS278" s="61" t="str">
        <f t="shared" si="194"/>
        <v>0.438092802639537+0.559065253010919i</v>
      </c>
      <c r="AT278" s="67">
        <f t="shared" si="195"/>
        <v>-2.9715668291387236</v>
      </c>
      <c r="AU278" s="64">
        <f t="shared" si="196"/>
        <v>51.917161974591131</v>
      </c>
    </row>
    <row r="279" spans="14:47" x14ac:dyDescent="0.25">
      <c r="N279" s="11">
        <v>61</v>
      </c>
      <c r="O279" s="53">
        <f t="shared" si="164"/>
        <v>4073.8027780411317</v>
      </c>
      <c r="P279" s="51" t="str">
        <f t="shared" si="165"/>
        <v>122.692307692308</v>
      </c>
      <c r="Q279" s="18" t="str">
        <f t="shared" si="166"/>
        <v>1+26.2363692033188i</v>
      </c>
      <c r="R279" s="18">
        <f t="shared" si="174"/>
        <v>26.255419801878155</v>
      </c>
      <c r="S279" s="18">
        <f t="shared" si="175"/>
        <v>1.5326997379689637</v>
      </c>
      <c r="T279" s="18" t="str">
        <f t="shared" si="167"/>
        <v>1+0.00524727384066376i</v>
      </c>
      <c r="U279" s="18">
        <f t="shared" si="176"/>
        <v>1.0000137668466165</v>
      </c>
      <c r="V279" s="18">
        <f t="shared" si="177"/>
        <v>5.2472256821851073E-3</v>
      </c>
      <c r="W279" s="32" t="str">
        <f t="shared" si="168"/>
        <v>1-0.248560643530737i</v>
      </c>
      <c r="X279" s="18">
        <f t="shared" si="178"/>
        <v>1.0304282573340147</v>
      </c>
      <c r="Y279" s="18">
        <f t="shared" si="179"/>
        <v>-0.24362351656411863</v>
      </c>
      <c r="Z279" s="32" t="str">
        <f t="shared" si="169"/>
        <v>0.999458094071041+0.0265244278010258i</v>
      </c>
      <c r="AA279" s="18">
        <f t="shared" si="180"/>
        <v>0.99980999548628735</v>
      </c>
      <c r="AB279" s="18">
        <f t="shared" si="181"/>
        <v>2.6532581468622755E-2</v>
      </c>
      <c r="AC279" s="69" t="str">
        <f t="shared" si="182"/>
        <v>-1.08303170468852-4.6928496164868i</v>
      </c>
      <c r="AD279" s="67">
        <f t="shared" si="183"/>
        <v>13.654092655572779</v>
      </c>
      <c r="AE279" s="64">
        <f t="shared" si="184"/>
        <v>-102.99538658768545</v>
      </c>
      <c r="AF279" s="32" t="str">
        <f t="shared" si="170"/>
        <v>-0.0000198412698412698</v>
      </c>
      <c r="AG279" s="32" t="str">
        <f t="shared" si="171"/>
        <v>0.000885637438473006i</v>
      </c>
      <c r="AH279" s="32">
        <f t="shared" si="185"/>
        <v>8.8563743847300605E-4</v>
      </c>
      <c r="AI279" s="32">
        <f t="shared" si="186"/>
        <v>1.5707963267948966</v>
      </c>
      <c r="AJ279" s="32" t="str">
        <f t="shared" si="172"/>
        <v>1+0.307406059869457i</v>
      </c>
      <c r="AK279" s="32">
        <f t="shared" si="187"/>
        <v>1.0461828165499871</v>
      </c>
      <c r="AL279" s="32">
        <f t="shared" si="188"/>
        <v>0.29823741929677494</v>
      </c>
      <c r="AM279" s="32" t="str">
        <f t="shared" si="173"/>
        <v>1+6.647656044677i</v>
      </c>
      <c r="AN279" s="32">
        <f t="shared" si="189"/>
        <v>6.7224497683754141</v>
      </c>
      <c r="AO279" s="32">
        <f t="shared" si="190"/>
        <v>1.421486882654178</v>
      </c>
      <c r="AP279" s="61" t="str">
        <f t="shared" si="191"/>
        <v>-0.129779086555997+0.0622982551279538i</v>
      </c>
      <c r="AQ279" s="52">
        <f t="shared" si="192"/>
        <v>-16.835330406774371</v>
      </c>
      <c r="AR279" s="64">
        <f t="shared" si="193"/>
        <v>154.35745359071385</v>
      </c>
      <c r="AS279" s="61" t="str">
        <f t="shared" si="194"/>
        <v>0.432911208030675+0.54156275112197i</v>
      </c>
      <c r="AT279" s="67">
        <f t="shared" si="195"/>
        <v>-3.1812377512015861</v>
      </c>
      <c r="AU279" s="64">
        <f t="shared" si="196"/>
        <v>51.362067003028429</v>
      </c>
    </row>
    <row r="280" spans="14:47" x14ac:dyDescent="0.25">
      <c r="N280" s="11">
        <v>62</v>
      </c>
      <c r="O280" s="53">
        <f t="shared" si="164"/>
        <v>4168.6938347033583</v>
      </c>
      <c r="P280" s="51" t="str">
        <f t="shared" si="165"/>
        <v>122.692307692308</v>
      </c>
      <c r="Q280" s="18" t="str">
        <f t="shared" si="166"/>
        <v>1+26.8474927486468i</v>
      </c>
      <c r="R280" s="18">
        <f t="shared" si="174"/>
        <v>26.866110006635544</v>
      </c>
      <c r="S280" s="18">
        <f t="shared" si="175"/>
        <v>1.5335661117792407</v>
      </c>
      <c r="T280" s="18" t="str">
        <f t="shared" si="167"/>
        <v>1+0.00536949854972936i</v>
      </c>
      <c r="U280" s="18">
        <f t="shared" si="176"/>
        <v>1.0000144156534323</v>
      </c>
      <c r="V280" s="18">
        <f t="shared" si="177"/>
        <v>5.3694469470299483E-3</v>
      </c>
      <c r="W280" s="32" t="str">
        <f t="shared" si="168"/>
        <v>1-0.254350364681798i</v>
      </c>
      <c r="X280" s="18">
        <f t="shared" si="178"/>
        <v>1.0318401562324291</v>
      </c>
      <c r="Y280" s="18">
        <f t="shared" si="179"/>
        <v>-0.24906891432679137</v>
      </c>
      <c r="Z280" s="32" t="str">
        <f t="shared" si="169"/>
        <v>0.999432554831429+0.0271422610930465i</v>
      </c>
      <c r="AA280" s="18">
        <f t="shared" si="180"/>
        <v>0.99980104720595309</v>
      </c>
      <c r="AB280" s="18">
        <f t="shared" si="181"/>
        <v>2.7150997920459847E-2</v>
      </c>
      <c r="AC280" s="69" t="str">
        <f t="shared" si="182"/>
        <v>-1.09111468265918-4.58518316738009i</v>
      </c>
      <c r="AD280" s="67">
        <f t="shared" si="183"/>
        <v>13.466352900742118</v>
      </c>
      <c r="AE280" s="64">
        <f t="shared" si="184"/>
        <v>-103.3854543500956</v>
      </c>
      <c r="AF280" s="32" t="str">
        <f t="shared" si="170"/>
        <v>-0.0000198412698412698</v>
      </c>
      <c r="AG280" s="32" t="str">
        <f t="shared" si="171"/>
        <v>0.000906266584490904i</v>
      </c>
      <c r="AH280" s="32">
        <f t="shared" si="185"/>
        <v>9.06266584490904E-4</v>
      </c>
      <c r="AI280" s="32">
        <f t="shared" si="186"/>
        <v>1.5707963267948966</v>
      </c>
      <c r="AJ280" s="32" t="str">
        <f t="shared" si="172"/>
        <v>1+0.314566466849053i</v>
      </c>
      <c r="AK280" s="32">
        <f t="shared" si="187"/>
        <v>1.0483091443204606</v>
      </c>
      <c r="AL280" s="32">
        <f t="shared" si="188"/>
        <v>0.30476637671353901</v>
      </c>
      <c r="AM280" s="32" t="str">
        <f t="shared" si="173"/>
        <v>1+6.80249984561078i</v>
      </c>
      <c r="AN280" s="32">
        <f t="shared" si="189"/>
        <v>6.8756093656878638</v>
      </c>
      <c r="AO280" s="32">
        <f t="shared" si="190"/>
        <v>1.4248369680332791</v>
      </c>
      <c r="AP280" s="61" t="str">
        <f t="shared" si="191"/>
        <v>-0.129253148164477+0.0625521204921973i</v>
      </c>
      <c r="AQ280" s="52">
        <f t="shared" si="192"/>
        <v>-16.857293664703995</v>
      </c>
      <c r="AR280" s="64">
        <f t="shared" si="193"/>
        <v>154.17531763934358</v>
      </c>
      <c r="AS280" s="61" t="str">
        <f t="shared" si="194"/>
        <v>0.427842937706938+0.524397822194142i</v>
      </c>
      <c r="AT280" s="67">
        <f t="shared" si="195"/>
        <v>-3.3909407639618756</v>
      </c>
      <c r="AU280" s="64">
        <f t="shared" si="196"/>
        <v>50.789863289247961</v>
      </c>
    </row>
    <row r="281" spans="14:47" x14ac:dyDescent="0.25">
      <c r="N281" s="11">
        <v>63</v>
      </c>
      <c r="O281" s="53">
        <f t="shared" si="164"/>
        <v>4265.7951880159299</v>
      </c>
      <c r="P281" s="51" t="str">
        <f t="shared" si="165"/>
        <v>122.692307692308</v>
      </c>
      <c r="Q281" s="18" t="str">
        <f t="shared" si="166"/>
        <v>1+27.4728511899986i</v>
      </c>
      <c r="R281" s="18">
        <f t="shared" si="174"/>
        <v>27.49104495118015</v>
      </c>
      <c r="S281" s="18">
        <f t="shared" si="175"/>
        <v>1.5344128185482542</v>
      </c>
      <c r="T281" s="18" t="str">
        <f t="shared" si="167"/>
        <v>1+0.00549457023799972i</v>
      </c>
      <c r="U281" s="18">
        <f t="shared" si="176"/>
        <v>1.00001509503712</v>
      </c>
      <c r="V281" s="18">
        <f t="shared" si="177"/>
        <v>5.4945149447561759E-3</v>
      </c>
      <c r="W281" s="32" t="str">
        <f t="shared" si="168"/>
        <v>1-0.260274945762938i</v>
      </c>
      <c r="X281" s="18">
        <f t="shared" si="178"/>
        <v>1.0333165281712571</v>
      </c>
      <c r="Y281" s="18">
        <f t="shared" si="179"/>
        <v>-0.25462557761272542</v>
      </c>
      <c r="Z281" s="32" t="str">
        <f t="shared" si="169"/>
        <v>0.999405811964535+0.0277744855711691i</v>
      </c>
      <c r="AA281" s="18">
        <f t="shared" si="180"/>
        <v>0.99979167781955192</v>
      </c>
      <c r="AB281" s="18">
        <f t="shared" si="181"/>
        <v>2.7783847267430203E-2</v>
      </c>
      <c r="AC281" s="69" t="str">
        <f t="shared" si="182"/>
        <v>-1.09883495805348-4.4799207106569i</v>
      </c>
      <c r="AD281" s="67">
        <f t="shared" si="183"/>
        <v>13.279130029491126</v>
      </c>
      <c r="AE281" s="64">
        <f t="shared" si="184"/>
        <v>-103.78143415713166</v>
      </c>
      <c r="AF281" s="32" t="str">
        <f t="shared" si="170"/>
        <v>-0.0000198412698412698</v>
      </c>
      <c r="AG281" s="32" t="str">
        <f t="shared" si="171"/>
        <v>0.000927376245047756i</v>
      </c>
      <c r="AH281" s="32">
        <f t="shared" si="185"/>
        <v>9.27376245047756E-4</v>
      </c>
      <c r="AI281" s="32">
        <f t="shared" si="186"/>
        <v>1.5707963267948966</v>
      </c>
      <c r="AJ281" s="32" t="str">
        <f t="shared" si="172"/>
        <v>1+0.321893661133152i</v>
      </c>
      <c r="AK281" s="32">
        <f t="shared" si="187"/>
        <v>1.0505310700201611</v>
      </c>
      <c r="AL281" s="32">
        <f t="shared" si="188"/>
        <v>0.31141976142421068</v>
      </c>
      <c r="AM281" s="32" t="str">
        <f t="shared" si="173"/>
        <v>1+6.96095042200442i</v>
      </c>
      <c r="AN281" s="32">
        <f t="shared" si="189"/>
        <v>7.0324128702461373</v>
      </c>
      <c r="AO281" s="32">
        <f t="shared" si="190"/>
        <v>1.4281139876873747</v>
      </c>
      <c r="AP281" s="61" t="str">
        <f t="shared" si="191"/>
        <v>-0.128706972637986+0.0628250180275288i</v>
      </c>
      <c r="AQ281" s="52">
        <f t="shared" si="192"/>
        <v>-16.879820898900604</v>
      </c>
      <c r="AR281" s="64">
        <f t="shared" si="193"/>
        <v>153.98186617150625</v>
      </c>
      <c r="AS281" s="61" t="str">
        <f t="shared" si="194"/>
        <v>0.422878820288771+0.507562706277876i</v>
      </c>
      <c r="AT281" s="67">
        <f t="shared" si="195"/>
        <v>-3.6006908694094757</v>
      </c>
      <c r="AU281" s="64">
        <f t="shared" si="196"/>
        <v>50.200432014374627</v>
      </c>
    </row>
    <row r="282" spans="14:47" x14ac:dyDescent="0.25">
      <c r="N282" s="11">
        <v>64</v>
      </c>
      <c r="O282" s="53">
        <f t="shared" si="164"/>
        <v>4365.1583224016631</v>
      </c>
      <c r="P282" s="51" t="str">
        <f t="shared" si="165"/>
        <v>122.692307692308</v>
      </c>
      <c r="Q282" s="18" t="str">
        <f t="shared" si="166"/>
        <v>1+28.1127761006975i</v>
      </c>
      <c r="R282" s="18">
        <f t="shared" si="174"/>
        <v>28.130555986114967</v>
      </c>
      <c r="S282" s="18">
        <f t="shared" si="175"/>
        <v>1.5352403023522516</v>
      </c>
      <c r="T282" s="18" t="str">
        <f t="shared" si="167"/>
        <v>1+0.0056225552201395i</v>
      </c>
      <c r="U282" s="18">
        <f t="shared" si="176"/>
        <v>1.0000158064386799</v>
      </c>
      <c r="V282" s="18">
        <f t="shared" si="177"/>
        <v>5.6224959724121715E-3</v>
      </c>
      <c r="W282" s="32" t="str">
        <f t="shared" si="168"/>
        <v>1-0.266337528065468i</v>
      </c>
      <c r="X282" s="18">
        <f t="shared" si="178"/>
        <v>1.0348602218928042</v>
      </c>
      <c r="Y282" s="18">
        <f t="shared" si="179"/>
        <v>-0.26029507949905134</v>
      </c>
      <c r="Z282" s="32" t="str">
        <f t="shared" si="169"/>
        <v>0.999377808745155+0.0284214364491802i</v>
      </c>
      <c r="AA282" s="18">
        <f t="shared" si="180"/>
        <v>0.99978186754016618</v>
      </c>
      <c r="AB282" s="18">
        <f t="shared" si="181"/>
        <v>2.8431467706545702E-2</v>
      </c>
      <c r="AC282" s="69" t="str">
        <f t="shared" si="182"/>
        <v>-1.10620877340775-4.37700823213008i</v>
      </c>
      <c r="AD282" s="67">
        <f t="shared" si="183"/>
        <v>13.092446433441312</v>
      </c>
      <c r="AE282" s="64">
        <f t="shared" si="184"/>
        <v>-104.18345716188934</v>
      </c>
      <c r="AF282" s="32" t="str">
        <f t="shared" si="170"/>
        <v>-0.0000198412698412698</v>
      </c>
      <c r="AG282" s="32" t="str">
        <f t="shared" si="171"/>
        <v>0.000948977612765008i</v>
      </c>
      <c r="AH282" s="32">
        <f t="shared" si="185"/>
        <v>9.4897761276500805E-4</v>
      </c>
      <c r="AI282" s="32">
        <f t="shared" si="186"/>
        <v>1.5707963267948966</v>
      </c>
      <c r="AJ282" s="32" t="str">
        <f t="shared" si="172"/>
        <v>1+0.32939152769715i</v>
      </c>
      <c r="AK282" s="32">
        <f t="shared" si="187"/>
        <v>1.0528526860480827</v>
      </c>
      <c r="AL282" s="32">
        <f t="shared" si="188"/>
        <v>0.31819874407849558</v>
      </c>
      <c r="AM282" s="32" t="str">
        <f t="shared" si="173"/>
        <v>1+7.12309178645087i</v>
      </c>
      <c r="AN282" s="32">
        <f t="shared" si="189"/>
        <v>7.1929435280838847</v>
      </c>
      <c r="AO282" s="32">
        <f t="shared" si="190"/>
        <v>1.4313193974574667</v>
      </c>
      <c r="AP282" s="61" t="str">
        <f t="shared" si="191"/>
        <v>-0.128139982160088+0.0631162728649487i</v>
      </c>
      <c r="AQ282" s="52">
        <f t="shared" si="192"/>
        <v>-16.902949247618004</v>
      </c>
      <c r="AR282" s="64">
        <f t="shared" si="193"/>
        <v>153.77711552745973</v>
      </c>
      <c r="AS282" s="61" t="str">
        <f t="shared" si="194"/>
        <v>0.418010018401051+0.491049981991703i</v>
      </c>
      <c r="AT282" s="67">
        <f t="shared" si="195"/>
        <v>-3.8105028141766888</v>
      </c>
      <c r="AU282" s="64">
        <f t="shared" si="196"/>
        <v>49.59365836557037</v>
      </c>
    </row>
    <row r="283" spans="14:47" x14ac:dyDescent="0.25">
      <c r="N283" s="11">
        <v>65</v>
      </c>
      <c r="O283" s="53">
        <f t="shared" si="164"/>
        <v>4466.8359215096343</v>
      </c>
      <c r="P283" s="51" t="str">
        <f t="shared" si="165"/>
        <v>122.692307692308</v>
      </c>
      <c r="Q283" s="18" t="str">
        <f t="shared" si="166"/>
        <v>1+28.7676067774016i</v>
      </c>
      <c r="R283" s="18">
        <f t="shared" si="174"/>
        <v>28.784982190357567</v>
      </c>
      <c r="S283" s="18">
        <f t="shared" si="175"/>
        <v>1.5360489973986904</v>
      </c>
      <c r="T283" s="18" t="str">
        <f t="shared" si="167"/>
        <v>1+0.00575352135548032i</v>
      </c>
      <c r="U283" s="18">
        <f t="shared" si="176"/>
        <v>1.0000165513670201</v>
      </c>
      <c r="V283" s="18">
        <f t="shared" si="177"/>
        <v>5.7534578704534454E-3</v>
      </c>
      <c r="W283" s="32" t="str">
        <f t="shared" si="168"/>
        <v>1-0.272541326050772i</v>
      </c>
      <c r="X283" s="18">
        <f t="shared" si="178"/>
        <v>1.0364742034443082</v>
      </c>
      <c r="Y283" s="18">
        <f t="shared" si="179"/>
        <v>-0.26607896753783089</v>
      </c>
      <c r="Z283" s="32" t="str">
        <f t="shared" si="169"/>
        <v>0.999348485774704+0.0290834567489989i</v>
      </c>
      <c r="AA283" s="18">
        <f t="shared" si="180"/>
        <v>0.99977159565405982</v>
      </c>
      <c r="AB283" s="18">
        <f t="shared" si="181"/>
        <v>2.9094205456336265E-2</v>
      </c>
      <c r="AC283" s="69" t="str">
        <f t="shared" si="182"/>
        <v>-1.11325164801596-4.27639284351423i</v>
      </c>
      <c r="AD283" s="67">
        <f t="shared" si="183"/>
        <v>12.906325233956185</v>
      </c>
      <c r="AE283" s="64">
        <f t="shared" si="184"/>
        <v>-104.59165286071395</v>
      </c>
      <c r="AF283" s="32" t="str">
        <f t="shared" si="170"/>
        <v>-0.0000198412698412698</v>
      </c>
      <c r="AG283" s="32" t="str">
        <f t="shared" si="171"/>
        <v>0.000971082140973752i</v>
      </c>
      <c r="AH283" s="32">
        <f t="shared" si="185"/>
        <v>9.7108214097375205E-4</v>
      </c>
      <c r="AI283" s="32">
        <f t="shared" si="186"/>
        <v>1.5707963267948966</v>
      </c>
      <c r="AJ283" s="32" t="str">
        <f t="shared" si="172"/>
        <v>1+0.337064042009145i</v>
      </c>
      <c r="AK283" s="32">
        <f t="shared" si="187"/>
        <v>1.0552782421785938</v>
      </c>
      <c r="AL283" s="32">
        <f t="shared" si="188"/>
        <v>0.32510442592017447</v>
      </c>
      <c r="AM283" s="32" t="str">
        <f t="shared" si="173"/>
        <v>1+7.28900990844777i</v>
      </c>
      <c r="AN283" s="32">
        <f t="shared" si="189"/>
        <v>7.357286554528768</v>
      </c>
      <c r="AO283" s="32">
        <f t="shared" si="190"/>
        <v>1.4344546332806698</v>
      </c>
      <c r="AP283" s="61" t="str">
        <f t="shared" si="191"/>
        <v>-0.127551599859007+0.0634251809097937i</v>
      </c>
      <c r="AQ283" s="52">
        <f t="shared" si="192"/>
        <v>-16.92671632118509</v>
      </c>
      <c r="AR283" s="64">
        <f t="shared" si="193"/>
        <v>153.5610848837191</v>
      </c>
      <c r="AS283" s="61" t="str">
        <f t="shared" si="194"/>
        <v>0.413228018491349+0.47485256164231i</v>
      </c>
      <c r="AT283" s="67">
        <f t="shared" si="195"/>
        <v>-4.0203910872289041</v>
      </c>
      <c r="AU283" s="64">
        <f t="shared" si="196"/>
        <v>48.969432023005155</v>
      </c>
    </row>
    <row r="284" spans="14:47" x14ac:dyDescent="0.25">
      <c r="N284" s="11">
        <v>66</v>
      </c>
      <c r="O284" s="53">
        <f t="shared" ref="O284:O318" si="197">10^(3+(N284/100))</f>
        <v>4570.8818961487532</v>
      </c>
      <c r="P284" s="51" t="str">
        <f t="shared" si="165"/>
        <v>122.692307692308</v>
      </c>
      <c r="Q284" s="18" t="str">
        <f t="shared" si="166"/>
        <v>1+29.4376904200034i</v>
      </c>
      <c r="R284" s="18">
        <f t="shared" si="174"/>
        <v>29.454670550932324</v>
      </c>
      <c r="S284" s="18">
        <f t="shared" si="175"/>
        <v>1.5368393282349588</v>
      </c>
      <c r="T284" s="18" t="str">
        <f t="shared" si="167"/>
        <v>1+0.00588753808400068i</v>
      </c>
      <c r="U284" s="18">
        <f t="shared" si="176"/>
        <v>1.0000173314021565</v>
      </c>
      <c r="V284" s="18">
        <f t="shared" si="177"/>
        <v>5.8874700586324649E-3</v>
      </c>
      <c r="W284" s="32" t="str">
        <f t="shared" si="168"/>
        <v>1-0.278889629054659i</v>
      </c>
      <c r="X284" s="18">
        <f t="shared" si="178"/>
        <v>1.0381615602565168</v>
      </c>
      <c r="Y284" s="18">
        <f t="shared" si="179"/>
        <v>-0.27197875986893716</v>
      </c>
      <c r="Z284" s="32" t="str">
        <f t="shared" si="169"/>
        <v>0.999317780855231+0.0297608974825509i</v>
      </c>
      <c r="AA284" s="18">
        <f t="shared" si="180"/>
        <v>0.99976084047755664</v>
      </c>
      <c r="AB284" s="18">
        <f t="shared" si="181"/>
        <v>2.9772414953988236E-2</v>
      </c>
      <c r="AC284" s="69" t="str">
        <f t="shared" si="182"/>
        <v>-1.11997840982298-4.17802276229803i</v>
      </c>
      <c r="AD284" s="67">
        <f t="shared" si="183"/>
        <v>12.720790296592616</v>
      </c>
      <c r="AE284" s="64">
        <f t="shared" si="184"/>
        <v>-105.00614889168237</v>
      </c>
      <c r="AF284" s="32" t="str">
        <f t="shared" si="170"/>
        <v>-0.0000198412698412698</v>
      </c>
      <c r="AG284" s="32" t="str">
        <f t="shared" si="171"/>
        <v>0.000993701549787432i</v>
      </c>
      <c r="AH284" s="32">
        <f t="shared" si="185"/>
        <v>9.9370154978743199E-4</v>
      </c>
      <c r="AI284" s="32">
        <f t="shared" si="186"/>
        <v>1.5707963267948966</v>
      </c>
      <c r="AJ284" s="32" t="str">
        <f t="shared" si="172"/>
        <v>1+0.344915272137784i</v>
      </c>
      <c r="AK284" s="32">
        <f t="shared" si="187"/>
        <v>1.0578121501258537</v>
      </c>
      <c r="AL284" s="32">
        <f t="shared" si="188"/>
        <v>0.33213783297856775</v>
      </c>
      <c r="AM284" s="32" t="str">
        <f t="shared" si="173"/>
        <v>1+7.45879275997959i</v>
      </c>
      <c r="AN284" s="32">
        <f t="shared" si="189"/>
        <v>7.5255291798201114</v>
      </c>
      <c r="AO284" s="32">
        <f t="shared" si="190"/>
        <v>1.4375211108234911</v>
      </c>
      <c r="AP284" s="61" t="str">
        <f t="shared" si="191"/>
        <v>-0.126941251590069+0.063751007530832i</v>
      </c>
      <c r="AQ284" s="52">
        <f t="shared" si="192"/>
        <v>-16.951160212286077</v>
      </c>
      <c r="AR284" s="64">
        <f t="shared" si="193"/>
        <v>153.33379656485099</v>
      </c>
      <c r="AS284" s="61" t="str">
        <f t="shared" si="194"/>
        <v>0.408524621680034+0.458963686578915i</v>
      </c>
      <c r="AT284" s="67">
        <f t="shared" si="195"/>
        <v>-4.2303699156934602</v>
      </c>
      <c r="AU284" s="64">
        <f t="shared" si="196"/>
        <v>48.327647673168556</v>
      </c>
    </row>
    <row r="285" spans="14:47" x14ac:dyDescent="0.25">
      <c r="N285" s="11">
        <v>67</v>
      </c>
      <c r="O285" s="53">
        <f t="shared" si="197"/>
        <v>4677.3514128719844</v>
      </c>
      <c r="P285" s="51" t="str">
        <f t="shared" si="165"/>
        <v>122.692307692308</v>
      </c>
      <c r="Q285" s="18" t="str">
        <f t="shared" si="166"/>
        <v>1+30.1233823157197i</v>
      </c>
      <c r="R285" s="18">
        <f t="shared" si="174"/>
        <v>30.139976146954968</v>
      </c>
      <c r="S285" s="18">
        <f t="shared" si="175"/>
        <v>1.5376117099534015</v>
      </c>
      <c r="T285" s="18" t="str">
        <f t="shared" si="167"/>
        <v>1+0.00602467646314395i</v>
      </c>
      <c r="U285" s="18">
        <f t="shared" si="176"/>
        <v>1.0000181481985642</v>
      </c>
      <c r="V285" s="18">
        <f t="shared" si="177"/>
        <v>6.0246035727201048E-3</v>
      </c>
      <c r="W285" s="32" t="str">
        <f t="shared" si="168"/>
        <v>1-0.285385803031411i</v>
      </c>
      <c r="X285" s="18">
        <f t="shared" si="178"/>
        <v>1.0399255052992418</v>
      </c>
      <c r="Y285" s="18">
        <f t="shared" si="179"/>
        <v>-0.27799594112415188</v>
      </c>
      <c r="Z285" s="32" t="str">
        <f t="shared" si="169"/>
        <v>0.999285628857486+0.0304541178378803i</v>
      </c>
      <c r="AA285" s="18">
        <f t="shared" si="180"/>
        <v>0.99974957931193176</v>
      </c>
      <c r="AB285" s="18">
        <f t="shared" si="181"/>
        <v>3.0466459057812822E-2</v>
      </c>
      <c r="AC285" s="69" t="str">
        <f t="shared" si="182"/>
        <v>-1.12640322594071-4.08184729167715i</v>
      </c>
      <c r="AD285" s="67">
        <f t="shared" si="183"/>
        <v>12.535866244502166</v>
      </c>
      <c r="AE285" s="64">
        <f t="shared" si="184"/>
        <v>-105.42707082116929</v>
      </c>
      <c r="AF285" s="32" t="str">
        <f t="shared" si="170"/>
        <v>-0.0000198412698412698</v>
      </c>
      <c r="AG285" s="32" t="str">
        <f t="shared" si="171"/>
        <v>0.001016847832316i</v>
      </c>
      <c r="AH285" s="32">
        <f t="shared" si="185"/>
        <v>1.016847832316E-3</v>
      </c>
      <c r="AI285" s="32">
        <f t="shared" si="186"/>
        <v>1.5707963267948966</v>
      </c>
      <c r="AJ285" s="32" t="str">
        <f t="shared" si="172"/>
        <v>1+0.352949380909204i</v>
      </c>
      <c r="AK285" s="32">
        <f t="shared" si="187"/>
        <v>1.0604589881198567</v>
      </c>
      <c r="AL285" s="32">
        <f t="shared" si="188"/>
        <v>0.33929991007452026</v>
      </c>
      <c r="AM285" s="32" t="str">
        <f t="shared" si="173"/>
        <v>1+7.63253036216153i</v>
      </c>
      <c r="AN285" s="32">
        <f t="shared" si="189"/>
        <v>7.6977606957684541</v>
      </c>
      <c r="AO285" s="32">
        <f t="shared" si="190"/>
        <v>1.4405202251715556</v>
      </c>
      <c r="AP285" s="61" t="str">
        <f t="shared" si="191"/>
        <v>-0.126308367861389+0.0640929863142443i</v>
      </c>
      <c r="AQ285" s="52">
        <f t="shared" si="192"/>
        <v>-16.976319503258683</v>
      </c>
      <c r="AR285" s="64">
        <f t="shared" si="193"/>
        <v>153.09527636912671</v>
      </c>
      <c r="AS285" s="61" t="str">
        <f t="shared" si="194"/>
        <v>0.403891935624673+0.443376922726633i</v>
      </c>
      <c r="AT285" s="67">
        <f t="shared" si="195"/>
        <v>-4.44045325875652</v>
      </c>
      <c r="AU285" s="64">
        <f t="shared" si="196"/>
        <v>47.668205547957399</v>
      </c>
    </row>
    <row r="286" spans="14:47" x14ac:dyDescent="0.25">
      <c r="N286" s="11">
        <v>68</v>
      </c>
      <c r="O286" s="53">
        <f t="shared" si="197"/>
        <v>4786.3009232263848</v>
      </c>
      <c r="P286" s="51" t="str">
        <f t="shared" si="165"/>
        <v>122.692307692308</v>
      </c>
      <c r="Q286" s="18" t="str">
        <f t="shared" si="166"/>
        <v>1+30.82504602747i</v>
      </c>
      <c r="R286" s="18">
        <f t="shared" si="174"/>
        <v>30.841262337907708</v>
      </c>
      <c r="S286" s="18">
        <f t="shared" si="175"/>
        <v>1.5383665483926627</v>
      </c>
      <c r="T286" s="18" t="str">
        <f t="shared" si="167"/>
        <v>1+0.00616500920549401i</v>
      </c>
      <c r="U286" s="18">
        <f t="shared" si="176"/>
        <v>1.0000190034886856</v>
      </c>
      <c r="V286" s="18">
        <f t="shared" si="177"/>
        <v>6.1649311020778533E-3</v>
      </c>
      <c r="W286" s="32" t="str">
        <f t="shared" si="168"/>
        <v>1-0.292033292338459i</v>
      </c>
      <c r="X286" s="18">
        <f t="shared" si="178"/>
        <v>1.0417693813095295</v>
      </c>
      <c r="Y286" s="18">
        <f t="shared" si="179"/>
        <v>-0.28413195811993031</v>
      </c>
      <c r="Z286" s="32" t="str">
        <f t="shared" si="169"/>
        <v>0.99925196158277+0.0311634853695952i</v>
      </c>
      <c r="AA286" s="18">
        <f t="shared" si="180"/>
        <v>0.99973778839623462</v>
      </c>
      <c r="AB286" s="18">
        <f t="shared" si="181"/>
        <v>3.1176709255218586E-2</v>
      </c>
      <c r="AC286" s="69" t="str">
        <f t="shared" si="182"/>
        <v>-1.13253963184392-3.98781680057165i</v>
      </c>
      <c r="AD286" s="67">
        <f t="shared" si="183"/>
        <v>12.351578470645258</v>
      </c>
      <c r="AE286" s="64">
        <f t="shared" si="184"/>
        <v>-105.8545419183599</v>
      </c>
      <c r="AF286" s="32" t="str">
        <f t="shared" si="170"/>
        <v>-0.0000198412698412698</v>
      </c>
      <c r="AG286" s="32" t="str">
        <f t="shared" si="171"/>
        <v>0.00104053326102484i</v>
      </c>
      <c r="AH286" s="32">
        <f t="shared" si="185"/>
        <v>1.0405332610248399E-3</v>
      </c>
      <c r="AI286" s="32">
        <f t="shared" si="186"/>
        <v>1.5707963267948966</v>
      </c>
      <c r="AJ286" s="32" t="str">
        <f t="shared" si="172"/>
        <v>1+0.361170628114219i</v>
      </c>
      <c r="AK286" s="32">
        <f t="shared" si="187"/>
        <v>1.0632235054834047</v>
      </c>
      <c r="AL286" s="32">
        <f t="shared" si="188"/>
        <v>0.34659151465198934</v>
      </c>
      <c r="AM286" s="32" t="str">
        <f t="shared" si="173"/>
        <v>1+7.81031483296999i</v>
      </c>
      <c r="AN286" s="32">
        <f t="shared" si="189"/>
        <v>7.874072503483255</v>
      </c>
      <c r="AO286" s="32">
        <f t="shared" si="190"/>
        <v>1.4434533505719651</v>
      </c>
      <c r="AP286" s="61" t="str">
        <f t="shared" si="191"/>
        <v>-0.125652385905078+0.0644503178956874i</v>
      </c>
      <c r="AQ286" s="52">
        <f t="shared" si="192"/>
        <v>-17.002233270206212</v>
      </c>
      <c r="AR286" s="64">
        <f t="shared" si="193"/>
        <v>152.84555390718572</v>
      </c>
      <c r="AS286" s="61" t="str">
        <f t="shared" si="194"/>
        <v>0.399322367379853+0.428086156242377i</v>
      </c>
      <c r="AT286" s="67">
        <f t="shared" si="195"/>
        <v>-4.6506547995609564</v>
      </c>
      <c r="AU286" s="64">
        <f t="shared" si="196"/>
        <v>46.991011988825832</v>
      </c>
    </row>
    <row r="287" spans="14:47" x14ac:dyDescent="0.25">
      <c r="N287" s="11">
        <v>69</v>
      </c>
      <c r="O287" s="53">
        <f t="shared" si="197"/>
        <v>4897.7881936844633</v>
      </c>
      <c r="P287" s="51" t="str">
        <f t="shared" si="165"/>
        <v>122.692307692308</v>
      </c>
      <c r="Q287" s="18" t="str">
        <f t="shared" si="166"/>
        <v>1+31.5430535866418i</v>
      </c>
      <c r="R287" s="18">
        <f t="shared" si="174"/>
        <v>31.558900956303219</v>
      </c>
      <c r="S287" s="18">
        <f t="shared" si="175"/>
        <v>1.5391042403353663</v>
      </c>
      <c r="T287" s="18" t="str">
        <f t="shared" si="167"/>
        <v>1+0.00630861071732837i</v>
      </c>
      <c r="U287" s="18">
        <f t="shared" si="176"/>
        <v>1.0000198990866045</v>
      </c>
      <c r="V287" s="18">
        <f t="shared" si="177"/>
        <v>6.3085270281000947E-3</v>
      </c>
      <c r="W287" s="32" t="str">
        <f t="shared" si="168"/>
        <v>1-0.298835621562622i</v>
      </c>
      <c r="X287" s="18">
        <f t="shared" si="178"/>
        <v>1.0436966650874757</v>
      </c>
      <c r="Y287" s="18">
        <f t="shared" si="179"/>
        <v>-0.29038821533718384</v>
      </c>
      <c r="Z287" s="32" t="str">
        <f t="shared" si="169"/>
        <v>0.999216707618279+0.0318893761937507i</v>
      </c>
      <c r="AA287" s="18">
        <f t="shared" si="180"/>
        <v>0.99972544285795772</v>
      </c>
      <c r="AB287" s="18">
        <f t="shared" si="181"/>
        <v>3.1903545876375193E-2</v>
      </c>
      <c r="AC287" s="69" t="str">
        <f t="shared" si="182"/>
        <v>-1.13840055930068-3.8958827037495i</v>
      </c>
      <c r="AD287" s="67">
        <f t="shared" si="183"/>
        <v>12.167953148672579</v>
      </c>
      <c r="AE287" s="64">
        <f t="shared" si="184"/>
        <v>-106.28868291762589</v>
      </c>
      <c r="AF287" s="32" t="str">
        <f t="shared" si="170"/>
        <v>-0.0000198412698412698</v>
      </c>
      <c r="AG287" s="32" t="str">
        <f t="shared" si="171"/>
        <v>0.00106477039424176i</v>
      </c>
      <c r="AH287" s="32">
        <f t="shared" si="185"/>
        <v>1.0647703942417599E-3</v>
      </c>
      <c r="AI287" s="32">
        <f t="shared" si="186"/>
        <v>1.5707963267948966</v>
      </c>
      <c r="AJ287" s="32" t="str">
        <f t="shared" si="172"/>
        <v>1+0.369583372766919i</v>
      </c>
      <c r="AK287" s="32">
        <f t="shared" si="187"/>
        <v>1.0661106271985903</v>
      </c>
      <c r="AL287" s="32">
        <f t="shared" si="188"/>
        <v>0.35401341044853307</v>
      </c>
      <c r="AM287" s="32" t="str">
        <f t="shared" si="173"/>
        <v>1+7.99224043608463i</v>
      </c>
      <c r="AN287" s="32">
        <f t="shared" si="189"/>
        <v>8.0545581621952564</v>
      </c>
      <c r="AO287" s="32">
        <f t="shared" si="190"/>
        <v>1.4463218402246523</v>
      </c>
      <c r="AP287" s="61" t="str">
        <f t="shared" si="191"/>
        <v>-0.124972751895211+0.0648221688845342i</v>
      </c>
      <c r="AQ287" s="52">
        <f t="shared" si="192"/>
        <v>-17.028941083720564</v>
      </c>
      <c r="AR287" s="64">
        <f t="shared" si="193"/>
        <v>152.58466295273365</v>
      </c>
      <c r="AS287" s="61" t="str">
        <f t="shared" si="194"/>
        <v>0.394808617231639+0.413085589235293i</v>
      </c>
      <c r="AT287" s="67">
        <f t="shared" si="195"/>
        <v>-4.8609879350479872</v>
      </c>
      <c r="AU287" s="64">
        <f t="shared" si="196"/>
        <v>46.29598003510776</v>
      </c>
    </row>
    <row r="288" spans="14:47" x14ac:dyDescent="0.25">
      <c r="N288" s="11">
        <v>70</v>
      </c>
      <c r="O288" s="53">
        <f t="shared" si="197"/>
        <v>5011.8723362727324</v>
      </c>
      <c r="P288" s="51" t="str">
        <f t="shared" si="165"/>
        <v>122.692307692308</v>
      </c>
      <c r="Q288" s="18" t="str">
        <f t="shared" si="166"/>
        <v>1+32.2777856903469i</v>
      </c>
      <c r="R288" s="18">
        <f t="shared" si="174"/>
        <v>32.293272504841674</v>
      </c>
      <c r="S288" s="18">
        <f t="shared" si="175"/>
        <v>1.5398251737021553</v>
      </c>
      <c r="T288" s="18" t="str">
        <f t="shared" si="167"/>
        <v>1+0.00645555713806939i</v>
      </c>
      <c r="U288" s="18">
        <f t="shared" si="176"/>
        <v>1.0000208368918935</v>
      </c>
      <c r="V288" s="18">
        <f t="shared" si="177"/>
        <v>6.4554674635465678E-3</v>
      </c>
      <c r="W288" s="32" t="str">
        <f t="shared" si="168"/>
        <v>1-0.305796397388895i</v>
      </c>
      <c r="X288" s="18">
        <f t="shared" si="178"/>
        <v>1.0457109718540907</v>
      </c>
      <c r="Y288" s="18">
        <f t="shared" si="179"/>
        <v>-0.29676607018749585</v>
      </c>
      <c r="Z288" s="32" t="str">
        <f t="shared" si="169"/>
        <v>0.999179792185629+0.0326321751872698i</v>
      </c>
      <c r="AA288" s="18">
        <f t="shared" si="180"/>
        <v>0.99971251666144967</v>
      </c>
      <c r="AB288" s="18">
        <f t="shared" si="181"/>
        <v>3.2647358313758888E-2</v>
      </c>
      <c r="AC288" s="69" t="str">
        <f t="shared" si="182"/>
        <v>-1.14399836308994-3.80599744207445i</v>
      </c>
      <c r="AD288" s="67">
        <f t="shared" si="183"/>
        <v>11.985017242316927</v>
      </c>
      <c r="AE288" s="64">
        <f t="shared" si="184"/>
        <v>-106.72961176874357</v>
      </c>
      <c r="AF288" s="32" t="str">
        <f t="shared" si="170"/>
        <v>-0.0000198412698412698</v>
      </c>
      <c r="AG288" s="32" t="str">
        <f t="shared" si="171"/>
        <v>0.00108957208281561i</v>
      </c>
      <c r="AH288" s="32">
        <f t="shared" si="185"/>
        <v>1.0895720828156101E-3</v>
      </c>
      <c r="AI288" s="32">
        <f t="shared" si="186"/>
        <v>1.5707963267948966</v>
      </c>
      <c r="AJ288" s="32" t="str">
        <f t="shared" si="172"/>
        <v>1+0.378192075415875i</v>
      </c>
      <c r="AK288" s="32">
        <f t="shared" si="187"/>
        <v>1.0691254584506755</v>
      </c>
      <c r="AL288" s="32">
        <f t="shared" si="188"/>
        <v>0.36156626102035955</v>
      </c>
      <c r="AM288" s="32" t="str">
        <f t="shared" si="173"/>
        <v>1+8.17840363086829i</v>
      </c>
      <c r="AN288" s="32">
        <f t="shared" si="189"/>
        <v>8.2393134392010854</v>
      </c>
      <c r="AO288" s="32">
        <f t="shared" si="190"/>
        <v>1.4491270261192899</v>
      </c>
      <c r="AP288" s="61" t="str">
        <f t="shared" si="191"/>
        <v>-0.124268923312722+0.065207670895229i</v>
      </c>
      <c r="AQ288" s="52">
        <f t="shared" si="192"/>
        <v>-17.0564830060102</v>
      </c>
      <c r="AR288" s="64">
        <f t="shared" si="193"/>
        <v>152.31264180418742</v>
      </c>
      <c r="AS288" s="61" t="str">
        <f t="shared" si="194"/>
        <v>0.390343673483577+0.398369735492516i</v>
      </c>
      <c r="AT288" s="67">
        <f t="shared" si="195"/>
        <v>-5.0714657636932863</v>
      </c>
      <c r="AU288" s="64">
        <f t="shared" si="196"/>
        <v>45.583030035443848</v>
      </c>
    </row>
    <row r="289" spans="14:47" x14ac:dyDescent="0.25">
      <c r="N289" s="11">
        <v>71</v>
      </c>
      <c r="O289" s="53">
        <f t="shared" si="197"/>
        <v>5128.6138399136489</v>
      </c>
      <c r="P289" s="51" t="str">
        <f t="shared" si="165"/>
        <v>122.692307692308</v>
      </c>
      <c r="Q289" s="18" t="str">
        <f t="shared" si="166"/>
        <v>1+33.0296319032719i</v>
      </c>
      <c r="R289" s="18">
        <f t="shared" si="174"/>
        <v>33.044766358163841</v>
      </c>
      <c r="S289" s="18">
        <f t="shared" si="175"/>
        <v>1.5405297277421175</v>
      </c>
      <c r="T289" s="18" t="str">
        <f t="shared" si="167"/>
        <v>1+0.00660592638065438i</v>
      </c>
      <c r="U289" s="18">
        <f t="shared" si="176"/>
        <v>1.0000218188936412</v>
      </c>
      <c r="V289" s="18">
        <f t="shared" si="177"/>
        <v>6.6058302927852162E-3</v>
      </c>
      <c r="W289" s="32" t="str">
        <f t="shared" si="168"/>
        <v>1-0.312919310512756i</v>
      </c>
      <c r="X289" s="18">
        <f t="shared" si="178"/>
        <v>1.0478160596649484</v>
      </c>
      <c r="Y289" s="18">
        <f t="shared" si="179"/>
        <v>-0.30326682806631727</v>
      </c>
      <c r="Z289" s="32" t="str">
        <f t="shared" si="169"/>
        <v>0.999141136982238+0.033392276192011i</v>
      </c>
      <c r="AA289" s="18">
        <f t="shared" si="180"/>
        <v>0.99969898255397005</v>
      </c>
      <c r="AB289" s="18">
        <f t="shared" si="181"/>
        <v>3.3408545247784645E-2</v>
      </c>
      <c r="AC289" s="69" t="str">
        <f t="shared" si="182"/>
        <v>-1.14934484655708-3.71811446289726i</v>
      </c>
      <c r="AD289" s="67">
        <f t="shared" si="183"/>
        <v>11.802798513135883</v>
      </c>
      <c r="AE289" s="64">
        <f t="shared" si="184"/>
        <v>-107.17744337499433</v>
      </c>
      <c r="AF289" s="32" t="str">
        <f t="shared" si="170"/>
        <v>-0.0000198412698412698</v>
      </c>
      <c r="AG289" s="32" t="str">
        <f t="shared" si="171"/>
        <v>0.00111495147692996i</v>
      </c>
      <c r="AH289" s="32">
        <f t="shared" si="185"/>
        <v>1.11495147692996E-3</v>
      </c>
      <c r="AI289" s="32">
        <f t="shared" si="186"/>
        <v>1.5707963267948966</v>
      </c>
      <c r="AJ289" s="32" t="str">
        <f t="shared" si="172"/>
        <v>1+0.387001300509178i</v>
      </c>
      <c r="AK289" s="32">
        <f t="shared" si="187"/>
        <v>1.0722732891365871</v>
      </c>
      <c r="AL289" s="32">
        <f t="shared" si="188"/>
        <v>0.36925062314010432</v>
      </c>
      <c r="AM289" s="32" t="str">
        <f t="shared" si="173"/>
        <v>1+8.36890312351097i</v>
      </c>
      <c r="AN289" s="32">
        <f t="shared" si="189"/>
        <v>8.4284363609575692</v>
      </c>
      <c r="AO289" s="32">
        <f t="shared" si="190"/>
        <v>1.4518702189144841</v>
      </c>
      <c r="AP289" s="61" t="str">
        <f t="shared" si="191"/>
        <v>-0.123540371456042+0.0656059197015005i</v>
      </c>
      <c r="AQ289" s="52">
        <f t="shared" si="192"/>
        <v>-17.084899584232303</v>
      </c>
      <c r="AR289" s="64">
        <f t="shared" si="193"/>
        <v>152.02953365603111</v>
      </c>
      <c r="AS289" s="61" t="str">
        <f t="shared" si="194"/>
        <v>0.385920808168575+0.383933416149852i</v>
      </c>
      <c r="AT289" s="67">
        <f t="shared" si="195"/>
        <v>-5.2821010710964202</v>
      </c>
      <c r="AU289" s="64">
        <f t="shared" si="196"/>
        <v>44.852090281036716</v>
      </c>
    </row>
    <row r="290" spans="14:47" x14ac:dyDescent="0.25">
      <c r="N290" s="11">
        <v>72</v>
      </c>
      <c r="O290" s="53">
        <f t="shared" si="197"/>
        <v>5248.0746024977261</v>
      </c>
      <c r="P290" s="51" t="str">
        <f t="shared" si="165"/>
        <v>122.692307692308</v>
      </c>
      <c r="Q290" s="18" t="str">
        <f t="shared" si="166"/>
        <v>1+33.798990864231i</v>
      </c>
      <c r="R290" s="18">
        <f t="shared" si="174"/>
        <v>33.81378096930851</v>
      </c>
      <c r="S290" s="18">
        <f t="shared" si="175"/>
        <v>1.5412182732196256</v>
      </c>
      <c r="T290" s="18" t="str">
        <f t="shared" si="167"/>
        <v>1+0.00675979817284621i</v>
      </c>
      <c r="U290" s="18">
        <f t="shared" si="176"/>
        <v>1.0000228471746722</v>
      </c>
      <c r="V290" s="18">
        <f t="shared" si="177"/>
        <v>6.7596952129664462E-3</v>
      </c>
      <c r="W290" s="32" t="str">
        <f t="shared" si="168"/>
        <v>1-0.320208137597029i</v>
      </c>
      <c r="X290" s="18">
        <f t="shared" si="178"/>
        <v>1.0500158338726888</v>
      </c>
      <c r="Y290" s="18">
        <f t="shared" si="179"/>
        <v>-0.30989173719503643</v>
      </c>
      <c r="Z290" s="32" t="str">
        <f t="shared" si="169"/>
        <v>0.999100660015237+0.0341700822235884i</v>
      </c>
      <c r="AA290" s="18">
        <f t="shared" si="180"/>
        <v>0.99968481200928971</v>
      </c>
      <c r="AB290" s="18">
        <f t="shared" si="181"/>
        <v>3.4187514878733762E-2</v>
      </c>
      <c r="AC290" s="69" t="str">
        <f t="shared" si="182"/>
        <v>-1.15445128605612-3.63218820060441i</v>
      </c>
      <c r="AD290" s="67">
        <f t="shared" si="183"/>
        <v>11.621325526431693</v>
      </c>
      <c r="AE290" s="64">
        <f t="shared" si="184"/>
        <v>-107.63228931927247</v>
      </c>
      <c r="AF290" s="32" t="str">
        <f t="shared" si="170"/>
        <v>-0.0000198412698412698</v>
      </c>
      <c r="AG290" s="32" t="str">
        <f t="shared" si="171"/>
        <v>0.0011409220330755i</v>
      </c>
      <c r="AH290" s="32">
        <f t="shared" si="185"/>
        <v>1.1409220330755E-3</v>
      </c>
      <c r="AI290" s="32">
        <f t="shared" si="186"/>
        <v>1.5707963267948966</v>
      </c>
      <c r="AJ290" s="32" t="str">
        <f t="shared" si="172"/>
        <v>1+0.39601571881458i</v>
      </c>
      <c r="AK290" s="32">
        <f t="shared" si="187"/>
        <v>1.0755595983246249</v>
      </c>
      <c r="AL290" s="32">
        <f t="shared" si="188"/>
        <v>0.3770669400881313</v>
      </c>
      <c r="AM290" s="32" t="str">
        <f t="shared" si="173"/>
        <v>1+8.5638399193653i</v>
      </c>
      <c r="AN290" s="32">
        <f t="shared" si="189"/>
        <v>8.6220272653544008</v>
      </c>
      <c r="AO290" s="32">
        <f t="shared" si="190"/>
        <v>1.4545527078561631</v>
      </c>
      <c r="AP290" s="61" t="str">
        <f t="shared" si="191"/>
        <v>-0.12278658409493+0.0660159745298765i</v>
      </c>
      <c r="AQ290" s="52">
        <f t="shared" si="192"/>
        <v>-17.114231839828314</v>
      </c>
      <c r="AR290" s="64">
        <f t="shared" si="193"/>
        <v>151.73538697852132</v>
      </c>
      <c r="AS290" s="61" t="str">
        <f t="shared" si="194"/>
        <v>0.381533573657649+0.369771755245862i</v>
      </c>
      <c r="AT290" s="67">
        <f t="shared" si="195"/>
        <v>-5.4929063133966167</v>
      </c>
      <c r="AU290" s="64">
        <f t="shared" si="196"/>
        <v>44.103097659248824</v>
      </c>
    </row>
    <row r="291" spans="14:47" x14ac:dyDescent="0.25">
      <c r="N291" s="11">
        <v>73</v>
      </c>
      <c r="O291" s="53">
        <f t="shared" si="197"/>
        <v>5370.3179637025269</v>
      </c>
      <c r="P291" s="51" t="str">
        <f t="shared" si="165"/>
        <v>122.692307692308</v>
      </c>
      <c r="Q291" s="18" t="str">
        <f t="shared" si="166"/>
        <v>1+34.5862704975288i</v>
      </c>
      <c r="R291" s="18">
        <f t="shared" si="174"/>
        <v>34.600724080981763</v>
      </c>
      <c r="S291" s="18">
        <f t="shared" si="175"/>
        <v>1.5418911725976245</v>
      </c>
      <c r="T291" s="18" t="str">
        <f t="shared" si="167"/>
        <v>1+0.00691725409950576i</v>
      </c>
      <c r="U291" s="18">
        <f t="shared" si="176"/>
        <v>1.0000239239159616</v>
      </c>
      <c r="V291" s="18">
        <f t="shared" si="177"/>
        <v>6.9171437761494734E-3</v>
      </c>
      <c r="W291" s="32" t="str">
        <f t="shared" si="168"/>
        <v>1-0.327666743274311i</v>
      </c>
      <c r="X291" s="18">
        <f t="shared" si="178"/>
        <v>1.052314351630725</v>
      </c>
      <c r="Y291" s="18">
        <f t="shared" si="179"/>
        <v>-0.31664198325521425</v>
      </c>
      <c r="Z291" s="32" t="str">
        <f t="shared" si="169"/>
        <v>0.999058275427551+0.0349660056850551i</v>
      </c>
      <c r="AA291" s="18">
        <f t="shared" si="180"/>
        <v>0.99966997516872513</v>
      </c>
      <c r="AB291" s="18">
        <f t="shared" si="181"/>
        <v>3.4984685165198134E-2</v>
      </c>
      <c r="AC291" s="69" t="str">
        <f t="shared" si="182"/>
        <v>-1.15932845432541-3.54817405733961i</v>
      </c>
      <c r="AD291" s="67">
        <f t="shared" si="183"/>
        <v>11.440627655172957</v>
      </c>
      <c r="AE291" s="64">
        <f t="shared" si="184"/>
        <v>-108.09425757839854</v>
      </c>
      <c r="AF291" s="32" t="str">
        <f t="shared" si="170"/>
        <v>-0.0000198412698412698</v>
      </c>
      <c r="AG291" s="32" t="str">
        <f t="shared" si="171"/>
        <v>0.00116749752118487i</v>
      </c>
      <c r="AH291" s="32">
        <f t="shared" si="185"/>
        <v>1.16749752118487E-3</v>
      </c>
      <c r="AI291" s="32">
        <f t="shared" si="186"/>
        <v>1.5707963267948966</v>
      </c>
      <c r="AJ291" s="32" t="str">
        <f t="shared" si="172"/>
        <v>1+0.405240109895985i</v>
      </c>
      <c r="AK291" s="32">
        <f t="shared" si="187"/>
        <v>1.0789900586513808</v>
      </c>
      <c r="AL291" s="32">
        <f t="shared" si="188"/>
        <v>0.38501553486083873</v>
      </c>
      <c r="AM291" s="32" t="str">
        <f t="shared" si="173"/>
        <v>1+8.76331737650068i</v>
      </c>
      <c r="AN291" s="32">
        <f t="shared" si="189"/>
        <v>8.8201888551934502</v>
      </c>
      <c r="AO291" s="32">
        <f t="shared" si="190"/>
        <v>1.4571757607322231</v>
      </c>
      <c r="AP291" s="61" t="str">
        <f t="shared" si="191"/>
        <v>-0.122007068263307+0.066436857509558i</v>
      </c>
      <c r="AQ291" s="52">
        <f t="shared" si="192"/>
        <v>-17.144521253670565</v>
      </c>
      <c r="AR291" s="64">
        <f t="shared" si="193"/>
        <v>151.4302559042234</v>
      </c>
      <c r="AS291" s="61" t="str">
        <f t="shared" si="194"/>
        <v>0.377175800133056+0.355880175097135i</v>
      </c>
      <c r="AT291" s="67">
        <f t="shared" si="195"/>
        <v>-5.7038935984976158</v>
      </c>
      <c r="AU291" s="64">
        <f t="shared" si="196"/>
        <v>43.335998325824846</v>
      </c>
    </row>
    <row r="292" spans="14:47" x14ac:dyDescent="0.25">
      <c r="N292" s="11">
        <v>74</v>
      </c>
      <c r="O292" s="53">
        <f t="shared" si="197"/>
        <v>5495.4087385762541</v>
      </c>
      <c r="P292" s="51" t="str">
        <f t="shared" si="165"/>
        <v>122.692307692308</v>
      </c>
      <c r="Q292" s="18" t="str">
        <f t="shared" si="166"/>
        <v>1+35.3918882292478i</v>
      </c>
      <c r="R292" s="18">
        <f t="shared" si="174"/>
        <v>35.406012941752827</v>
      </c>
      <c r="S292" s="18">
        <f t="shared" si="175"/>
        <v>1.5425487802174007</v>
      </c>
      <c r="T292" s="18" t="str">
        <f t="shared" si="167"/>
        <v>1+0.00707837764584957i</v>
      </c>
      <c r="U292" s="18">
        <f t="shared" si="176"/>
        <v>1.0000250514012623</v>
      </c>
      <c r="V292" s="18">
        <f t="shared" si="177"/>
        <v>7.078259432403429E-3</v>
      </c>
      <c r="W292" s="32" t="str">
        <f t="shared" si="168"/>
        <v>1-0.33529908219606i</v>
      </c>
      <c r="X292" s="18">
        <f t="shared" si="178"/>
        <v>1.0547158264298115</v>
      </c>
      <c r="Y292" s="18">
        <f t="shared" si="179"/>
        <v>-0.32351868381992954</v>
      </c>
      <c r="Z292" s="32" t="str">
        <f t="shared" si="169"/>
        <v>0.999013893315787+0.0357804685855659i</v>
      </c>
      <c r="AA292" s="18">
        <f t="shared" si="180"/>
        <v>0.99965444077949717</v>
      </c>
      <c r="AB292" s="18">
        <f t="shared" si="181"/>
        <v>3.5800484069275586E-2</v>
      </c>
      <c r="AC292" s="69" t="str">
        <f t="shared" si="182"/>
        <v>-1.16398664284199-3.46602838390985i</v>
      </c>
      <c r="AD292" s="67">
        <f t="shared" si="183"/>
        <v>11.260735081731957</v>
      </c>
      <c r="AE292" s="64">
        <f t="shared" si="184"/>
        <v>-108.56345222593893</v>
      </c>
      <c r="AF292" s="32" t="str">
        <f t="shared" si="170"/>
        <v>-0.0000198412698412698</v>
      </c>
      <c r="AG292" s="32" t="str">
        <f t="shared" si="171"/>
        <v>0.00119469203193363i</v>
      </c>
      <c r="AH292" s="32">
        <f t="shared" si="185"/>
        <v>1.19469203193363E-3</v>
      </c>
      <c r="AI292" s="32">
        <f t="shared" si="186"/>
        <v>1.5707963267948966</v>
      </c>
      <c r="AJ292" s="32" t="str">
        <f t="shared" si="172"/>
        <v>1+0.414679364647645i</v>
      </c>
      <c r="AK292" s="32">
        <f t="shared" si="187"/>
        <v>1.0825705406413821</v>
      </c>
      <c r="AL292" s="32">
        <f t="shared" si="188"/>
        <v>0.39309660332233404</v>
      </c>
      <c r="AM292" s="32" t="str">
        <f t="shared" si="173"/>
        <v>1+8.96744126050532i</v>
      </c>
      <c r="AN292" s="32">
        <f t="shared" si="189"/>
        <v>9.0230262529050211</v>
      </c>
      <c r="AO292" s="32">
        <f t="shared" si="190"/>
        <v>1.459740623860686</v>
      </c>
      <c r="AP292" s="61" t="str">
        <f t="shared" si="191"/>
        <v>-0.121201353185212+0.0668675532962032i</v>
      </c>
      <c r="AQ292" s="52">
        <f t="shared" si="192"/>
        <v>-17.175809746832613</v>
      </c>
      <c r="AR292" s="64">
        <f t="shared" si="193"/>
        <v>151.11420061971305</v>
      </c>
      <c r="AS292" s="61" t="str">
        <f t="shared" si="194"/>
        <v>0.372841593889206+0.342254391431922i</v>
      </c>
      <c r="AT292" s="67">
        <f t="shared" si="195"/>
        <v>-5.9150746651006543</v>
      </c>
      <c r="AU292" s="64">
        <f t="shared" si="196"/>
        <v>42.55074839377415</v>
      </c>
    </row>
    <row r="293" spans="14:47" x14ac:dyDescent="0.25">
      <c r="N293" s="11">
        <v>75</v>
      </c>
      <c r="O293" s="53">
        <f t="shared" si="197"/>
        <v>5623.4132519034993</v>
      </c>
      <c r="P293" s="51" t="str">
        <f t="shared" si="165"/>
        <v>122.692307692308</v>
      </c>
      <c r="Q293" s="18" t="str">
        <f t="shared" si="166"/>
        <v>1+36.216271208573i</v>
      </c>
      <c r="R293" s="18">
        <f t="shared" si="174"/>
        <v>36.230074527288977</v>
      </c>
      <c r="S293" s="18">
        <f t="shared" si="175"/>
        <v>1.5431914424748685</v>
      </c>
      <c r="T293" s="18" t="str">
        <f t="shared" si="167"/>
        <v>1+0.0072432542417146i</v>
      </c>
      <c r="U293" s="18">
        <f t="shared" si="176"/>
        <v>1.0000262320219455</v>
      </c>
      <c r="V293" s="18">
        <f t="shared" si="177"/>
        <v>7.2431275739043739E-3</v>
      </c>
      <c r="W293" s="32" t="str">
        <f t="shared" si="168"/>
        <v>1-0.343109201129396i</v>
      </c>
      <c r="X293" s="18">
        <f t="shared" si="178"/>
        <v>1.0572246326583827</v>
      </c>
      <c r="Y293" s="18">
        <f t="shared" si="179"/>
        <v>-0.33052288258885737</v>
      </c>
      <c r="Z293" s="32" t="str">
        <f t="shared" si="169"/>
        <v>0.998967419539537+0.0366139027641313i</v>
      </c>
      <c r="AA293" s="18">
        <f t="shared" si="180"/>
        <v>0.99963817613029504</v>
      </c>
      <c r="AB293" s="18">
        <f t="shared" si="181"/>
        <v>3.6635349808755019E-2</v>
      </c>
      <c r="AC293" s="69" t="str">
        <f t="shared" si="182"/>
        <v>-1.16843568319757-3.38570846088739i</v>
      </c>
      <c r="AD293" s="67">
        <f t="shared" si="183"/>
        <v>11.081678797247282</v>
      </c>
      <c r="AE293" s="64">
        <f t="shared" si="184"/>
        <v>-109.03997312392256</v>
      </c>
      <c r="AF293" s="32" t="str">
        <f t="shared" si="170"/>
        <v>-0.0000198412698412698</v>
      </c>
      <c r="AG293" s="32" t="str">
        <f t="shared" si="171"/>
        <v>0.00122251998421134i</v>
      </c>
      <c r="AH293" s="32">
        <f t="shared" si="185"/>
        <v>1.2225199842113401E-3</v>
      </c>
      <c r="AI293" s="32">
        <f t="shared" si="186"/>
        <v>1.5707963267948966</v>
      </c>
      <c r="AJ293" s="32" t="str">
        <f t="shared" si="172"/>
        <v>1+0.42433848788737i</v>
      </c>
      <c r="AK293" s="32">
        <f t="shared" si="187"/>
        <v>1.0863071169344973</v>
      </c>
      <c r="AL293" s="32">
        <f t="shared" si="188"/>
        <v>0.40131020732866129</v>
      </c>
      <c r="AM293" s="32" t="str">
        <f t="shared" si="173"/>
        <v>1+9.17631980056438i</v>
      </c>
      <c r="AN293" s="32">
        <f t="shared" si="189"/>
        <v>9.2306470565302146</v>
      </c>
      <c r="AO293" s="32">
        <f t="shared" si="190"/>
        <v>1.4622485221087413</v>
      </c>
      <c r="AP293" s="61" t="str">
        <f t="shared" si="191"/>
        <v>-0.120368993326083+0.0673070088874937i</v>
      </c>
      <c r="AQ293" s="52">
        <f t="shared" si="192"/>
        <v>-17.208139656808619</v>
      </c>
      <c r="AR293" s="64">
        <f t="shared" si="193"/>
        <v>150.78728776062056</v>
      </c>
      <c r="AS293" s="61" t="str">
        <f t="shared" si="194"/>
        <v>0.368525336420176+0.328890408219173i</v>
      </c>
      <c r="AT293" s="67">
        <f t="shared" si="195"/>
        <v>-6.1264608595613392</v>
      </c>
      <c r="AU293" s="64">
        <f t="shared" si="196"/>
        <v>41.747314636697929</v>
      </c>
    </row>
    <row r="294" spans="14:47" x14ac:dyDescent="0.25">
      <c r="N294" s="11">
        <v>76</v>
      </c>
      <c r="O294" s="53">
        <f t="shared" si="197"/>
        <v>5754.399373371567</v>
      </c>
      <c r="P294" s="51" t="str">
        <f t="shared" si="165"/>
        <v>122.692307692308</v>
      </c>
      <c r="Q294" s="18" t="str">
        <f t="shared" si="166"/>
        <v>1+37.0598565342719i</v>
      </c>
      <c r="R294" s="18">
        <f t="shared" si="174"/>
        <v>37.073345766747508</v>
      </c>
      <c r="S294" s="18">
        <f t="shared" si="175"/>
        <v>1.5438194979934163</v>
      </c>
      <c r="T294" s="18" t="str">
        <f t="shared" si="167"/>
        <v>1+0.00741197130685439i</v>
      </c>
      <c r="U294" s="18">
        <f t="shared" si="176"/>
        <v>1.0000274682820736</v>
      </c>
      <c r="V294" s="18">
        <f t="shared" si="177"/>
        <v>7.41183558005173E-3</v>
      </c>
      <c r="W294" s="32" t="str">
        <f t="shared" si="168"/>
        <v>1-0.351101241102758i</v>
      </c>
      <c r="X294" s="18">
        <f t="shared" si="178"/>
        <v>1.0598453101768659</v>
      </c>
      <c r="Y294" s="18">
        <f t="shared" si="179"/>
        <v>-0.33765554343565479</v>
      </c>
      <c r="Z294" s="32" t="str">
        <f t="shared" si="169"/>
        <v>0.99891875552169+0.0374667501185844i</v>
      </c>
      <c r="AA294" s="18">
        <f t="shared" si="180"/>
        <v>0.99962114698392124</v>
      </c>
      <c r="AB294" s="18">
        <f t="shared" si="181"/>
        <v>3.748973111654922E-2</v>
      </c>
      <c r="AC294" s="69" t="str">
        <f t="shared" si="182"/>
        <v>-1.17268496753796-3.30717247991752i</v>
      </c>
      <c r="AD294" s="67">
        <f t="shared" si="183"/>
        <v>10.903490598416074</v>
      </c>
      <c r="AE294" s="64">
        <f t="shared" si="184"/>
        <v>-109.52391560396423</v>
      </c>
      <c r="AF294" s="32" t="str">
        <f t="shared" si="170"/>
        <v>-0.0000198412698412698</v>
      </c>
      <c r="AG294" s="32" t="str">
        <f t="shared" si="171"/>
        <v>0.00125099613276664i</v>
      </c>
      <c r="AH294" s="32">
        <f t="shared" si="185"/>
        <v>1.25099613276664E-3</v>
      </c>
      <c r="AI294" s="32">
        <f t="shared" si="186"/>
        <v>1.5707963267948966</v>
      </c>
      <c r="AJ294" s="32" t="str">
        <f t="shared" si="172"/>
        <v>1+0.434222601010157i</v>
      </c>
      <c r="AK294" s="32">
        <f t="shared" si="187"/>
        <v>1.0902060664058084</v>
      </c>
      <c r="AL294" s="32">
        <f t="shared" si="188"/>
        <v>0.40965626785674009</v>
      </c>
      <c r="AM294" s="32" t="str">
        <f t="shared" si="173"/>
        <v>1+9.39006374684464i</v>
      </c>
      <c r="AN294" s="32">
        <f t="shared" si="189"/>
        <v>9.4431613970007966</v>
      </c>
      <c r="AO294" s="32">
        <f t="shared" si="190"/>
        <v>1.4647006589402285</v>
      </c>
      <c r="AP294" s="61" t="str">
        <f t="shared" si="191"/>
        <v>-0.119509571559569+0.0677541336485312i</v>
      </c>
      <c r="AQ294" s="52">
        <f t="shared" si="192"/>
        <v>-17.241553709018028</v>
      </c>
      <c r="AR294" s="64">
        <f t="shared" si="193"/>
        <v>150.44959080803378</v>
      </c>
      <c r="AS294" s="61" t="str">
        <f t="shared" si="194"/>
        <v>0.364221684247885+0.31578451213035i</v>
      </c>
      <c r="AT294" s="67">
        <f t="shared" si="195"/>
        <v>-6.338063110601948</v>
      </c>
      <c r="AU294" s="64">
        <f t="shared" si="196"/>
        <v>40.925675204069535</v>
      </c>
    </row>
    <row r="295" spans="14:47" x14ac:dyDescent="0.25">
      <c r="N295" s="11">
        <v>77</v>
      </c>
      <c r="O295" s="53">
        <f t="shared" si="197"/>
        <v>5888.4365535558973</v>
      </c>
      <c r="P295" s="51" t="str">
        <f t="shared" si="165"/>
        <v>122.692307692308</v>
      </c>
      <c r="Q295" s="18" t="str">
        <f t="shared" si="166"/>
        <v>1+37.9230914864506i</v>
      </c>
      <c r="R295" s="18">
        <f t="shared" si="174"/>
        <v>37.936273774445773</v>
      </c>
      <c r="S295" s="18">
        <f t="shared" si="175"/>
        <v>1.5444332777933474</v>
      </c>
      <c r="T295" s="18" t="str">
        <f t="shared" si="167"/>
        <v>1+0.00758461829729014i</v>
      </c>
      <c r="U295" s="18">
        <f t="shared" si="176"/>
        <v>1.0000287628037083</v>
      </c>
      <c r="V295" s="18">
        <f t="shared" si="177"/>
        <v>7.5844728636267674E-3</v>
      </c>
      <c r="W295" s="32" t="str">
        <f t="shared" si="168"/>
        <v>1-0.359279439601529i</v>
      </c>
      <c r="X295" s="18">
        <f t="shared" si="178"/>
        <v>1.0625825688954194</v>
      </c>
      <c r="Y295" s="18">
        <f t="shared" si="179"/>
        <v>-0.34491754427822174</v>
      </c>
      <c r="Z295" s="32" t="str">
        <f t="shared" si="169"/>
        <v>0.998867798039339+0.0383394628398816i</v>
      </c>
      <c r="AA295" s="18">
        <f t="shared" si="180"/>
        <v>0.9996033175069039</v>
      </c>
      <c r="AB295" s="18">
        <f t="shared" si="181"/>
        <v>3.8364087507641219E-2</v>
      </c>
      <c r="AC295" s="69" t="str">
        <f t="shared" si="182"/>
        <v>-1.17674346810565-3.23037952524071i</v>
      </c>
      <c r="AD295" s="67">
        <f t="shared" si="183"/>
        <v>10.726203081515955</v>
      </c>
      <c r="AE295" s="64">
        <f t="shared" si="184"/>
        <v>-110.01537013841464</v>
      </c>
      <c r="AF295" s="32" t="str">
        <f t="shared" si="170"/>
        <v>-0.0000198412698412698</v>
      </c>
      <c r="AG295" s="32" t="str">
        <f t="shared" si="171"/>
        <v>0.00128013557603043i</v>
      </c>
      <c r="AH295" s="32">
        <f t="shared" si="185"/>
        <v>1.2801355760304299E-3</v>
      </c>
      <c r="AI295" s="32">
        <f t="shared" si="186"/>
        <v>1.5707963267948966</v>
      </c>
      <c r="AJ295" s="32" t="str">
        <f t="shared" si="172"/>
        <v>1+0.444336944703616i</v>
      </c>
      <c r="AK295" s="32">
        <f t="shared" si="187"/>
        <v>1.0942738781623842</v>
      </c>
      <c r="AL295" s="32">
        <f t="shared" si="188"/>
        <v>0.41813455817306194</v>
      </c>
      <c r="AM295" s="32" t="str">
        <f t="shared" si="173"/>
        <v>1+9.6087864292157i</v>
      </c>
      <c r="AN295" s="32">
        <f t="shared" si="189"/>
        <v>9.6606819967474244</v>
      </c>
      <c r="AO295" s="32">
        <f t="shared" si="190"/>
        <v>1.4670982164892359</v>
      </c>
      <c r="AP295" s="61" t="str">
        <f t="shared" si="191"/>
        <v>-0.118622702437929+0.0682077995650598i</v>
      </c>
      <c r="AQ295" s="52">
        <f t="shared" si="192"/>
        <v>-17.27609498344852</v>
      </c>
      <c r="AR295" s="64">
        <f t="shared" si="193"/>
        <v>150.10119048411977</v>
      </c>
      <c r="AS295" s="61" t="str">
        <f t="shared" si="194"/>
        <v>0.359925569439564+0.302933266572164i</v>
      </c>
      <c r="AT295" s="67">
        <f t="shared" si="195"/>
        <v>-6.5498919019325665</v>
      </c>
      <c r="AU295" s="64">
        <f t="shared" si="196"/>
        <v>40.085820345705208</v>
      </c>
    </row>
    <row r="296" spans="14:47" x14ac:dyDescent="0.25">
      <c r="N296" s="11">
        <v>78</v>
      </c>
      <c r="O296" s="53">
        <f t="shared" si="197"/>
        <v>6025.595860743585</v>
      </c>
      <c r="P296" s="51" t="str">
        <f t="shared" si="165"/>
        <v>122.692307692308</v>
      </c>
      <c r="Q296" s="18" t="str">
        <f t="shared" si="166"/>
        <v>1+38.8064337637068i</v>
      </c>
      <c r="R296" s="18">
        <f t="shared" si="174"/>
        <v>38.819316086929753</v>
      </c>
      <c r="S296" s="18">
        <f t="shared" si="175"/>
        <v>1.5450331054579645</v>
      </c>
      <c r="T296" s="18" t="str">
        <f t="shared" si="167"/>
        <v>1+0.00776128675274138i</v>
      </c>
      <c r="U296" s="18">
        <f t="shared" si="176"/>
        <v>1.000030118332472</v>
      </c>
      <c r="V296" s="18">
        <f t="shared" si="177"/>
        <v>7.7611309180169261E-3</v>
      </c>
      <c r="W296" s="32" t="str">
        <f t="shared" si="168"/>
        <v>1-0.367648132814801i</v>
      </c>
      <c r="X296" s="18">
        <f t="shared" si="178"/>
        <v>1.0654412933438471</v>
      </c>
      <c r="Y296" s="18">
        <f t="shared" si="179"/>
        <v>-0.35230967078462228</v>
      </c>
      <c r="Z296" s="32" t="str">
        <f t="shared" si="169"/>
        <v>0.998814439004832+0.0392325036518592i</v>
      </c>
      <c r="AA296" s="18">
        <f t="shared" si="180"/>
        <v>0.99958465019593534</v>
      </c>
      <c r="AB296" s="18">
        <f t="shared" si="181"/>
        <v>3.9258889553822916E-2</v>
      </c>
      <c r="AC296" s="69" t="str">
        <f t="shared" si="182"/>
        <v>-1.18061975592384-3.15528955543654i</v>
      </c>
      <c r="AD296" s="67">
        <f t="shared" si="183"/>
        <v>10.54984963345365</v>
      </c>
      <c r="AE296" s="64">
        <f t="shared" si="184"/>
        <v>-110.51442200228814</v>
      </c>
      <c r="AF296" s="32" t="str">
        <f t="shared" si="170"/>
        <v>-0.0000198412698412698</v>
      </c>
      <c r="AG296" s="32" t="str">
        <f t="shared" si="171"/>
        <v>0.00130995376412123i</v>
      </c>
      <c r="AH296" s="32">
        <f t="shared" si="185"/>
        <v>1.30995376412123E-3</v>
      </c>
      <c r="AI296" s="32">
        <f t="shared" si="186"/>
        <v>1.5707963267948966</v>
      </c>
      <c r="AJ296" s="32" t="str">
        <f t="shared" si="172"/>
        <v>1+0.454686881726651i</v>
      </c>
      <c r="AK296" s="32">
        <f t="shared" si="187"/>
        <v>1.0985172554012548</v>
      </c>
      <c r="AL296" s="32">
        <f t="shared" si="188"/>
        <v>0.42674469708013674</v>
      </c>
      <c r="AM296" s="32" t="str">
        <f t="shared" si="173"/>
        <v>1+9.83260381733884i</v>
      </c>
      <c r="AN296" s="32">
        <f t="shared" si="189"/>
        <v>9.883324229668192</v>
      </c>
      <c r="AO296" s="32">
        <f t="shared" si="190"/>
        <v>1.4694423556576426</v>
      </c>
      <c r="AP296" s="61" t="str">
        <f t="shared" si="191"/>
        <v>-0.117708035551824+0.0686668417422471i</v>
      </c>
      <c r="AQ296" s="52">
        <f t="shared" si="192"/>
        <v>-17.311806876308346</v>
      </c>
      <c r="AR296" s="64">
        <f t="shared" si="193"/>
        <v>149.742175144664</v>
      </c>
      <c r="AS296" s="61" t="str">
        <f t="shared" si="194"/>
        <v>0.355632200757595+0.29033350522983i</v>
      </c>
      <c r="AT296" s="67">
        <f t="shared" si="195"/>
        <v>-6.761957242854705</v>
      </c>
      <c r="AU296" s="64">
        <f t="shared" si="196"/>
        <v>39.227753142375818</v>
      </c>
    </row>
    <row r="297" spans="14:47" x14ac:dyDescent="0.25">
      <c r="N297" s="11">
        <v>79</v>
      </c>
      <c r="O297" s="53">
        <f t="shared" si="197"/>
        <v>6165.9500186148289</v>
      </c>
      <c r="P297" s="51" t="str">
        <f t="shared" si="165"/>
        <v>122.692307692308</v>
      </c>
      <c r="Q297" s="18" t="str">
        <f t="shared" si="166"/>
        <v>1+39.7103517258085i</v>
      </c>
      <c r="R297" s="18">
        <f t="shared" si="174"/>
        <v>39.722940905570198</v>
      </c>
      <c r="S297" s="18">
        <f t="shared" si="175"/>
        <v>1.5456192972963347</v>
      </c>
      <c r="T297" s="18" t="str">
        <f t="shared" si="167"/>
        <v>1+0.00794207034516171i</v>
      </c>
      <c r="U297" s="18">
        <f t="shared" si="176"/>
        <v>1.0000315377433693</v>
      </c>
      <c r="V297" s="18">
        <f t="shared" si="177"/>
        <v>7.9419033655304429E-3</v>
      </c>
      <c r="W297" s="32" t="str">
        <f t="shared" si="168"/>
        <v>1-0.37621175793449i</v>
      </c>
      <c r="X297" s="18">
        <f t="shared" si="178"/>
        <v>1.0684265472217356</v>
      </c>
      <c r="Y297" s="18">
        <f t="shared" si="179"/>
        <v>-0.35983260992979921</v>
      </c>
      <c r="Z297" s="32" t="str">
        <f t="shared" si="169"/>
        <v>0.998758565236504+0.0401463460565767i</v>
      </c>
      <c r="AA297" s="18">
        <f t="shared" si="180"/>
        <v>0.99956510580100499</v>
      </c>
      <c r="AB297" s="18">
        <f t="shared" si="181"/>
        <v>4.0174619166523741E-2</v>
      </c>
      <c r="AC297" s="69" t="str">
        <f t="shared" si="182"/>
        <v>-1.18432201865858-3.0818633853956i</v>
      </c>
      <c r="AD297" s="67">
        <f t="shared" si="183"/>
        <v>10.374464419635547</v>
      </c>
      <c r="AE297" s="64">
        <f t="shared" si="184"/>
        <v>-111.02115092685227</v>
      </c>
      <c r="AF297" s="32" t="str">
        <f t="shared" si="170"/>
        <v>-0.0000198412698412698</v>
      </c>
      <c r="AG297" s="32" t="str">
        <f t="shared" si="171"/>
        <v>0.00134046650703705i</v>
      </c>
      <c r="AH297" s="32">
        <f t="shared" si="185"/>
        <v>1.3404665070370499E-3</v>
      </c>
      <c r="AI297" s="32">
        <f t="shared" si="186"/>
        <v>1.5707963267948966</v>
      </c>
      <c r="AJ297" s="32" t="str">
        <f t="shared" si="172"/>
        <v>1+0.465277899752871i</v>
      </c>
      <c r="AK297" s="32">
        <f t="shared" si="187"/>
        <v>1.1029431191128773</v>
      </c>
      <c r="AL297" s="32">
        <f t="shared" si="188"/>
        <v>0.43548614228151289</v>
      </c>
      <c r="AM297" s="32" t="str">
        <f t="shared" si="173"/>
        <v>1+10.0616345821558i</v>
      </c>
      <c r="AN297" s="32">
        <f t="shared" si="189"/>
        <v>10.111206182490472</v>
      </c>
      <c r="AO297" s="32">
        <f t="shared" si="190"/>
        <v>1.4717342162345546</v>
      </c>
      <c r="AP297" s="61" t="str">
        <f t="shared" si="191"/>
        <v>-0.116765258962966+0.0691300591662332i</v>
      </c>
      <c r="AQ297" s="52">
        <f t="shared" si="192"/>
        <v>-17.348733056581295</v>
      </c>
      <c r="AR297" s="64">
        <f t="shared" si="193"/>
        <v>149.3726411660696</v>
      </c>
      <c r="AS297" s="61" t="str">
        <f t="shared" si="194"/>
        <v>0.351337065378857+0.27798232506246i</v>
      </c>
      <c r="AT297" s="67">
        <f t="shared" si="195"/>
        <v>-6.9742686369457507</v>
      </c>
      <c r="AU297" s="64">
        <f t="shared" si="196"/>
        <v>38.351490239217348</v>
      </c>
    </row>
    <row r="298" spans="14:47" x14ac:dyDescent="0.25">
      <c r="N298" s="11">
        <v>80</v>
      </c>
      <c r="O298" s="53">
        <f t="shared" si="197"/>
        <v>6309.5734448019384</v>
      </c>
      <c r="P298" s="51" t="str">
        <f t="shared" si="165"/>
        <v>122.692307692308</v>
      </c>
      <c r="Q298" s="18" t="str">
        <f t="shared" si="166"/>
        <v>1+40.6353246420238i</v>
      </c>
      <c r="R298" s="18">
        <f t="shared" si="174"/>
        <v>40.647627344811482</v>
      </c>
      <c r="S298" s="18">
        <f t="shared" si="175"/>
        <v>1.5461921625027848</v>
      </c>
      <c r="T298" s="18" t="str">
        <f t="shared" si="167"/>
        <v>1+0.00812706492840476i</v>
      </c>
      <c r="U298" s="18">
        <f t="shared" si="176"/>
        <v>1.0000330240468813</v>
      </c>
      <c r="V298" s="18">
        <f t="shared" si="177"/>
        <v>8.1268860068253856E-3</v>
      </c>
      <c r="W298" s="32" t="str">
        <f t="shared" si="168"/>
        <v>1-0.384974855507987i</v>
      </c>
      <c r="X298" s="18">
        <f t="shared" si="178"/>
        <v>1.0715435779161739</v>
      </c>
      <c r="Y298" s="18">
        <f t="shared" si="179"/>
        <v>-0.36748694342063304</v>
      </c>
      <c r="Z298" s="32" t="str">
        <f t="shared" si="169"/>
        <v>0.998700058218601+0.0410814745853729i</v>
      </c>
      <c r="AA298" s="18">
        <f t="shared" si="180"/>
        <v>0.99954464324508563</v>
      </c>
      <c r="AB298" s="18">
        <f t="shared" si="181"/>
        <v>4.1111769888034937E-2</v>
      </c>
      <c r="AC298" s="69" t="str">
        <f t="shared" si="182"/>
        <v>-1.18785807769436-3.01006266852561i</v>
      </c>
      <c r="AD298" s="67">
        <f t="shared" si="183"/>
        <v>10.200082368458379</v>
      </c>
      <c r="AE298" s="64">
        <f t="shared" si="184"/>
        <v>-111.53563074590303</v>
      </c>
      <c r="AF298" s="32" t="str">
        <f t="shared" si="170"/>
        <v>-0.0000198412698412698</v>
      </c>
      <c r="AG298" s="32" t="str">
        <f t="shared" si="171"/>
        <v>0.00137168998303807i</v>
      </c>
      <c r="AH298" s="32">
        <f t="shared" si="185"/>
        <v>1.3716899830380699E-3</v>
      </c>
      <c r="AI298" s="32">
        <f t="shared" si="186"/>
        <v>1.5707963267948966</v>
      </c>
      <c r="AJ298" s="32" t="str">
        <f t="shared" si="172"/>
        <v>1+0.476115614280219i</v>
      </c>
      <c r="AK298" s="32">
        <f t="shared" si="187"/>
        <v>1.107558611614496</v>
      </c>
      <c r="AL298" s="32">
        <f t="shared" si="188"/>
        <v>0.4443581839089138</v>
      </c>
      <c r="AM298" s="32" t="str">
        <f t="shared" si="173"/>
        <v>1+10.2960001588097i</v>
      </c>
      <c r="AN298" s="32">
        <f t="shared" si="189"/>
        <v>10.344448717559066</v>
      </c>
      <c r="AO298" s="32">
        <f t="shared" si="190"/>
        <v>1.4739749170357188</v>
      </c>
      <c r="AP298" s="61" t="str">
        <f t="shared" si="191"/>
        <v>-0.115794102690686+0.0695962157448473i</v>
      </c>
      <c r="AQ298" s="52">
        <f t="shared" si="192"/>
        <v>-17.386917417402802</v>
      </c>
      <c r="AR298" s="64">
        <f t="shared" si="193"/>
        <v>148.99269332421341</v>
      </c>
      <c r="AS298" s="61" t="str">
        <f t="shared" si="194"/>
        <v>0.347035931114721+0.265877078695179i</v>
      </c>
      <c r="AT298" s="67">
        <f t="shared" si="195"/>
        <v>-7.186835048944415</v>
      </c>
      <c r="AU298" s="64">
        <f t="shared" si="196"/>
        <v>37.457062578310399</v>
      </c>
    </row>
    <row r="299" spans="14:47" x14ac:dyDescent="0.25">
      <c r="N299" s="11">
        <v>81</v>
      </c>
      <c r="O299" s="53">
        <f t="shared" si="197"/>
        <v>6456.5422903465615</v>
      </c>
      <c r="P299" s="51" t="str">
        <f t="shared" si="165"/>
        <v>122.692307692308</v>
      </c>
      <c r="Q299" s="18" t="str">
        <f t="shared" si="166"/>
        <v>1+41.5818429452364i</v>
      </c>
      <c r="R299" s="18">
        <f t="shared" si="174"/>
        <v>41.593865686207941</v>
      </c>
      <c r="S299" s="18">
        <f t="shared" si="175"/>
        <v>1.5467520033131701</v>
      </c>
      <c r="T299" s="18" t="str">
        <f t="shared" si="167"/>
        <v>1+0.00831636858904729i</v>
      </c>
      <c r="U299" s="18">
        <f t="shared" si="176"/>
        <v>1.0000345803953525</v>
      </c>
      <c r="V299" s="18">
        <f t="shared" si="177"/>
        <v>8.3161768714789149E-3</v>
      </c>
      <c r="W299" s="32" t="str">
        <f t="shared" si="168"/>
        <v>1-0.39394207184562i</v>
      </c>
      <c r="X299" s="18">
        <f t="shared" si="178"/>
        <v>1.0747978209737958</v>
      </c>
      <c r="Y299" s="18">
        <f t="shared" si="179"/>
        <v>-0.37527314100954801</v>
      </c>
      <c r="Z299" s="32" t="str">
        <f t="shared" si="169"/>
        <v>0.998638793849893+0.0420383850557721i</v>
      </c>
      <c r="AA299" s="18">
        <f t="shared" si="180"/>
        <v>0.99952321954022971</v>
      </c>
      <c r="AB299" s="18">
        <f t="shared" si="181"/>
        <v>4.2070847191458476E-2</v>
      </c>
      <c r="AC299" s="69" t="str">
        <f t="shared" si="182"/>
        <v>-1.19123540445674-2.93984987919531i</v>
      </c>
      <c r="AD299" s="67">
        <f t="shared" si="183"/>
        <v>10.026739152215701</v>
      </c>
      <c r="AE299" s="64">
        <f t="shared" si="184"/>
        <v>-112.05792903590503</v>
      </c>
      <c r="AF299" s="32" t="str">
        <f t="shared" si="170"/>
        <v>-0.0000198412698412698</v>
      </c>
      <c r="AG299" s="32" t="str">
        <f t="shared" si="171"/>
        <v>0.00140364074722456i</v>
      </c>
      <c r="AH299" s="32">
        <f t="shared" si="185"/>
        <v>1.4036407472245601E-3</v>
      </c>
      <c r="AI299" s="32">
        <f t="shared" si="186"/>
        <v>1.5707963267948966</v>
      </c>
      <c r="AJ299" s="32" t="str">
        <f t="shared" si="172"/>
        <v>1+0.487205771608396i</v>
      </c>
      <c r="AK299" s="32">
        <f t="shared" si="187"/>
        <v>1.1123710998981107</v>
      </c>
      <c r="AL299" s="32">
        <f t="shared" si="188"/>
        <v>0.45335993825766119</v>
      </c>
      <c r="AM299" s="32" t="str">
        <f t="shared" si="173"/>
        <v>1+10.5358248110316i</v>
      </c>
      <c r="AN299" s="32">
        <f t="shared" si="189"/>
        <v>10.583175537084747</v>
      </c>
      <c r="AO299" s="32">
        <f t="shared" si="190"/>
        <v>1.4761655560611058</v>
      </c>
      <c r="AP299" s="61" t="str">
        <f t="shared" si="191"/>
        <v>-0.114794342231043+0.0700640416427983i</v>
      </c>
      <c r="AQ299" s="52">
        <f t="shared" si="192"/>
        <v>-17.426404022204149</v>
      </c>
      <c r="AR299" s="64">
        <f t="shared" si="193"/>
        <v>148.60244516240817</v>
      </c>
      <c r="AS299" s="61" t="str">
        <f t="shared" si="194"/>
        <v>0.342724849056458+0.254015366156004i</v>
      </c>
      <c r="AT299" s="67">
        <f t="shared" si="195"/>
        <v>-7.3996648699884426</v>
      </c>
      <c r="AU299" s="64">
        <f t="shared" si="196"/>
        <v>36.54451612650309</v>
      </c>
    </row>
    <row r="300" spans="14:47" x14ac:dyDescent="0.25">
      <c r="N300" s="11">
        <v>82</v>
      </c>
      <c r="O300" s="53">
        <f t="shared" si="197"/>
        <v>6606.9344800759654</v>
      </c>
      <c r="P300" s="51" t="str">
        <f t="shared" si="165"/>
        <v>122.692307692308</v>
      </c>
      <c r="Q300" s="18" t="str">
        <f t="shared" si="166"/>
        <v>1+42.5504084919793i</v>
      </c>
      <c r="R300" s="18">
        <f t="shared" si="174"/>
        <v>42.562157638379936</v>
      </c>
      <c r="S300" s="18">
        <f t="shared" si="175"/>
        <v>1.5472991151579645</v>
      </c>
      <c r="T300" s="18" t="str">
        <f t="shared" si="167"/>
        <v>1+0.00851008169839586i</v>
      </c>
      <c r="U300" s="18">
        <f t="shared" si="176"/>
        <v>1.0000362100896714</v>
      </c>
      <c r="V300" s="18">
        <f t="shared" si="177"/>
        <v>8.5098762697219266E-3</v>
      </c>
      <c r="W300" s="32" t="str">
        <f t="shared" si="168"/>
        <v>1-0.403118161484183i</v>
      </c>
      <c r="X300" s="18">
        <f t="shared" si="178"/>
        <v>1.0781949045132739</v>
      </c>
      <c r="Y300" s="18">
        <f t="shared" si="179"/>
        <v>-0.38319155371952685</v>
      </c>
      <c r="Z300" s="32" t="str">
        <f t="shared" si="169"/>
        <v>0.99857464218044+0.0430175848343715i</v>
      </c>
      <c r="AA300" s="18">
        <f t="shared" si="180"/>
        <v>0.99950078969992617</v>
      </c>
      <c r="AB300" s="18">
        <f t="shared" si="181"/>
        <v>4.3052368789717743E-2</v>
      </c>
      <c r="AC300" s="69" t="str">
        <f t="shared" si="182"/>
        <v>-1.19446113601446-2.87118829542048i</v>
      </c>
      <c r="AD300" s="67">
        <f t="shared" si="183"/>
        <v>9.8544711642242717</v>
      </c>
      <c r="AE300" s="64">
        <f t="shared" si="184"/>
        <v>-112.58810675132555</v>
      </c>
      <c r="AF300" s="32" t="str">
        <f t="shared" si="170"/>
        <v>-0.0000198412698412698</v>
      </c>
      <c r="AG300" s="32" t="str">
        <f t="shared" si="171"/>
        <v>0.00143633574031462i</v>
      </c>
      <c r="AH300" s="32">
        <f t="shared" si="185"/>
        <v>1.4363357403146199E-3</v>
      </c>
      <c r="AI300" s="32">
        <f t="shared" si="186"/>
        <v>1.5707963267948966</v>
      </c>
      <c r="AJ300" s="32" t="str">
        <f t="shared" si="172"/>
        <v>1+0.498554251885608i</v>
      </c>
      <c r="AK300" s="32">
        <f t="shared" si="187"/>
        <v>1.1173881787781801</v>
      </c>
      <c r="AL300" s="32">
        <f t="shared" si="188"/>
        <v>0.4624903417788625</v>
      </c>
      <c r="AM300" s="32" t="str">
        <f t="shared" si="173"/>
        <v>1+10.7812356970263i</v>
      </c>
      <c r="AN300" s="32">
        <f t="shared" si="189"/>
        <v>10.827513248887492</v>
      </c>
      <c r="AO300" s="32">
        <f t="shared" si="190"/>
        <v>1.4783072106689747</v>
      </c>
      <c r="AP300" s="61" t="str">
        <f t="shared" si="191"/>
        <v>-0.11376580208467+0.0705322349252022i</v>
      </c>
      <c r="AQ300" s="52">
        <f t="shared" si="192"/>
        <v>-17.46723704560376</v>
      </c>
      <c r="AR300" s="64">
        <f t="shared" si="193"/>
        <v>148.20201934559762</v>
      </c>
      <c r="AS300" s="61" t="str">
        <f t="shared" si="194"/>
        <v>0.338400156564739+0.242395025910232i</v>
      </c>
      <c r="AT300" s="67">
        <f t="shared" si="195"/>
        <v>-7.6127658813794898</v>
      </c>
      <c r="AU300" s="64">
        <f t="shared" si="196"/>
        <v>35.613912594272122</v>
      </c>
    </row>
    <row r="301" spans="14:47" x14ac:dyDescent="0.25">
      <c r="N301" s="11">
        <v>83</v>
      </c>
      <c r="O301" s="53">
        <f t="shared" si="197"/>
        <v>6760.8297539198229</v>
      </c>
      <c r="P301" s="51" t="str">
        <f t="shared" si="165"/>
        <v>122.692307692308</v>
      </c>
      <c r="Q301" s="18" t="str">
        <f t="shared" si="166"/>
        <v>1+43.5415348285259i</v>
      </c>
      <c r="R301" s="18">
        <f t="shared" si="174"/>
        <v>43.553016603029164</v>
      </c>
      <c r="S301" s="18">
        <f t="shared" si="175"/>
        <v>1.5478337868122169</v>
      </c>
      <c r="T301" s="18" t="str">
        <f t="shared" si="167"/>
        <v>1+0.00870830696570519i</v>
      </c>
      <c r="U301" s="18">
        <f t="shared" si="176"/>
        <v>1.0000379165862707</v>
      </c>
      <c r="V301" s="18">
        <f t="shared" si="177"/>
        <v>8.708086845365972E-3</v>
      </c>
      <c r="W301" s="32" t="str">
        <f t="shared" si="168"/>
        <v>1-0.412507989707866i</v>
      </c>
      <c r="X301" s="18">
        <f t="shared" si="178"/>
        <v>1.0817406535638867</v>
      </c>
      <c r="Y301" s="18">
        <f t="shared" si="179"/>
        <v>-0.39124240700623975</v>
      </c>
      <c r="Z301" s="32" t="str">
        <f t="shared" si="169"/>
        <v>0.998507467135951+0.0440195931058552i</v>
      </c>
      <c r="AA301" s="18">
        <f t="shared" si="180"/>
        <v>0.99947730664755829</v>
      </c>
      <c r="AB301" s="18">
        <f t="shared" si="181"/>
        <v>4.405686495399587E-2</v>
      </c>
      <c r="AC301" s="69" t="str">
        <f t="shared" si="182"/>
        <v>-1.19754208999218-2.80404198179498i</v>
      </c>
      <c r="AD301" s="67">
        <f t="shared" si="183"/>
        <v>9.6833154919793536</v>
      </c>
      <c r="AE301" s="64">
        <f t="shared" si="184"/>
        <v>-113.1262178566582</v>
      </c>
      <c r="AF301" s="32" t="str">
        <f t="shared" si="170"/>
        <v>-0.0000198412698412698</v>
      </c>
      <c r="AG301" s="32" t="str">
        <f t="shared" si="171"/>
        <v>0.00146979229762634i</v>
      </c>
      <c r="AH301" s="32">
        <f t="shared" si="185"/>
        <v>1.46979229762634E-3</v>
      </c>
      <c r="AI301" s="32">
        <f t="shared" si="186"/>
        <v>1.5707963267948966</v>
      </c>
      <c r="AJ301" s="32" t="str">
        <f t="shared" si="172"/>
        <v>1+0.510167072226317i</v>
      </c>
      <c r="AK301" s="32">
        <f t="shared" si="187"/>
        <v>1.1226176738248743</v>
      </c>
      <c r="AL301" s="32">
        <f t="shared" si="188"/>
        <v>0.47174814537905446</v>
      </c>
      <c r="AM301" s="32" t="str">
        <f t="shared" si="173"/>
        <v>1+11.0323629368941i</v>
      </c>
      <c r="AN301" s="32">
        <f t="shared" si="189"/>
        <v>11.077591433671607</v>
      </c>
      <c r="AO301" s="32">
        <f t="shared" si="190"/>
        <v>1.4804009377648542</v>
      </c>
      <c r="AP301" s="61" t="str">
        <f t="shared" si="191"/>
        <v>-0.112708359267185+0.0709994635215693i</v>
      </c>
      <c r="AQ301" s="52">
        <f t="shared" si="192"/>
        <v>-17.509460709057912</v>
      </c>
      <c r="AR301" s="64">
        <f t="shared" si="193"/>
        <v>147.79154799779153</v>
      </c>
      <c r="AS301" s="61" t="str">
        <f t="shared" si="194"/>
        <v>0.334058480515816+0.231014125150474i</v>
      </c>
      <c r="AT301" s="67">
        <f t="shared" si="195"/>
        <v>-7.8261452170785608</v>
      </c>
      <c r="AU301" s="64">
        <f t="shared" si="196"/>
        <v>34.665330141133275</v>
      </c>
    </row>
    <row r="302" spans="14:47" x14ac:dyDescent="0.25">
      <c r="N302" s="11">
        <v>84</v>
      </c>
      <c r="O302" s="53">
        <f t="shared" si="197"/>
        <v>6918.3097091893687</v>
      </c>
      <c r="P302" s="51" t="str">
        <f t="shared" si="165"/>
        <v>122.692307692308</v>
      </c>
      <c r="Q302" s="18" t="str">
        <f t="shared" si="166"/>
        <v>1+44.5557474631789i</v>
      </c>
      <c r="R302" s="18">
        <f t="shared" si="174"/>
        <v>44.566967947153117</v>
      </c>
      <c r="S302" s="18">
        <f t="shared" si="175"/>
        <v>1.5483563005424266</v>
      </c>
      <c r="T302" s="18" t="str">
        <f t="shared" si="167"/>
        <v>1+0.00891114949263579i</v>
      </c>
      <c r="U302" s="18">
        <f t="shared" si="176"/>
        <v>1.0000397035044559</v>
      </c>
      <c r="V302" s="18">
        <f t="shared" si="177"/>
        <v>8.910913629948591E-3</v>
      </c>
      <c r="W302" s="32" t="str">
        <f t="shared" si="168"/>
        <v>1-0.422116535127881i</v>
      </c>
      <c r="X302" s="18">
        <f t="shared" si="178"/>
        <v>1.0854410943152868</v>
      </c>
      <c r="Y302" s="18">
        <f t="shared" si="179"/>
        <v>-0.39942579388579935</v>
      </c>
      <c r="Z302" s="32" t="str">
        <f t="shared" si="169"/>
        <v>0.998437126229151+0.0450449411482718i</v>
      </c>
      <c r="AA302" s="18">
        <f t="shared" si="180"/>
        <v>0.99945272112080275</v>
      </c>
      <c r="AB302" s="18">
        <f t="shared" si="181"/>
        <v>4.508487884197529E-2</v>
      </c>
      <c r="AC302" s="69" t="str">
        <f t="shared" si="182"/>
        <v>-1.20048477882331-2.73837577266889i</v>
      </c>
      <c r="AD302" s="67">
        <f t="shared" si="183"/>
        <v>9.5133098861563461</v>
      </c>
      <c r="AE302" s="64">
        <f t="shared" si="184"/>
        <v>-113.67230895679155</v>
      </c>
      <c r="AF302" s="32" t="str">
        <f t="shared" si="170"/>
        <v>-0.0000198412698412698</v>
      </c>
      <c r="AG302" s="32" t="str">
        <f t="shared" si="171"/>
        <v>0.00150402815826926i</v>
      </c>
      <c r="AH302" s="32">
        <f t="shared" si="185"/>
        <v>1.50402815826926E-3</v>
      </c>
      <c r="AI302" s="32">
        <f t="shared" si="186"/>
        <v>1.5707963267948966</v>
      </c>
      <c r="AJ302" s="32" t="str">
        <f t="shared" si="172"/>
        <v>1+0.522050389901579i</v>
      </c>
      <c r="AK302" s="32">
        <f t="shared" si="187"/>
        <v>1.1280676440694462</v>
      </c>
      <c r="AL302" s="32">
        <f t="shared" si="188"/>
        <v>0.48113190907968545</v>
      </c>
      <c r="AM302" s="32" t="str">
        <f t="shared" si="173"/>
        <v>1+11.2893396816217i</v>
      </c>
      <c r="AN302" s="32">
        <f t="shared" si="189"/>
        <v>11.333542713866583</v>
      </c>
      <c r="AO302" s="32">
        <f t="shared" si="190"/>
        <v>1.4824477740039346</v>
      </c>
      <c r="AP302" s="61" t="str">
        <f t="shared" si="191"/>
        <v>-0.111621946773628+0.0714643675202118i</v>
      </c>
      <c r="AQ302" s="52">
        <f t="shared" si="192"/>
        <v>-17.553119211326614</v>
      </c>
      <c r="AR302" s="64">
        <f t="shared" si="193"/>
        <v>147.37117301965108</v>
      </c>
      <c r="AS302" s="61" t="str">
        <f t="shared" si="194"/>
        <v>0.32969674071082+0.21987094930679i</v>
      </c>
      <c r="AT302" s="67">
        <f t="shared" si="195"/>
        <v>-8.0398093251702605</v>
      </c>
      <c r="AU302" s="64">
        <f t="shared" si="196"/>
        <v>33.698864062859485</v>
      </c>
    </row>
    <row r="303" spans="14:47" x14ac:dyDescent="0.25">
      <c r="N303" s="11">
        <v>85</v>
      </c>
      <c r="O303" s="53">
        <f t="shared" si="197"/>
        <v>7079.4578438413828</v>
      </c>
      <c r="P303" s="51" t="str">
        <f t="shared" si="165"/>
        <v>122.692307692308</v>
      </c>
      <c r="Q303" s="18" t="str">
        <f t="shared" si="166"/>
        <v>1+45.5935841449019i</v>
      </c>
      <c r="R303" s="18">
        <f t="shared" si="174"/>
        <v>45.604549281604015</v>
      </c>
      <c r="S303" s="18">
        <f t="shared" si="175"/>
        <v>1.548866932250379</v>
      </c>
      <c r="T303" s="18" t="str">
        <f t="shared" si="167"/>
        <v>1+0.0091187168289804i</v>
      </c>
      <c r="U303" s="18">
        <f t="shared" si="176"/>
        <v>1.0000415746340785</v>
      </c>
      <c r="V303" s="18">
        <f t="shared" si="177"/>
        <v>9.118464098125138E-3</v>
      </c>
      <c r="W303" s="32" t="str">
        <f t="shared" si="168"/>
        <v>1-0.431948892322193i</v>
      </c>
      <c r="X303" s="18">
        <f t="shared" si="178"/>
        <v>1.0893024582632547</v>
      </c>
      <c r="Y303" s="18">
        <f t="shared" si="179"/>
        <v>-0.40774166805964512</v>
      </c>
      <c r="Z303" s="32" t="str">
        <f t="shared" si="169"/>
        <v>0.998363470257544+0.0460941726147255i</v>
      </c>
      <c r="AA303" s="18">
        <f t="shared" si="180"/>
        <v>0.99942698157180154</v>
      </c>
      <c r="AB303" s="18">
        <f t="shared" si="181"/>
        <v>4.6136966836281629E-2</v>
      </c>
      <c r="AC303" s="69" t="str">
        <f t="shared" si="182"/>
        <v>-1.20329542337165-2.67415525557539i</v>
      </c>
      <c r="AD303" s="67">
        <f t="shared" si="183"/>
        <v>9.3444927252888892</v>
      </c>
      <c r="AE303" s="64">
        <f t="shared" si="184"/>
        <v>-114.22641892755355</v>
      </c>
      <c r="AF303" s="32" t="str">
        <f t="shared" si="170"/>
        <v>-0.0000198412698412698</v>
      </c>
      <c r="AG303" s="32" t="str">
        <f t="shared" si="171"/>
        <v>0.00153906147454986i</v>
      </c>
      <c r="AH303" s="32">
        <f t="shared" si="185"/>
        <v>1.5390614745498599E-3</v>
      </c>
      <c r="AI303" s="32">
        <f t="shared" si="186"/>
        <v>1.5707963267948966</v>
      </c>
      <c r="AJ303" s="32" t="str">
        <f t="shared" si="172"/>
        <v>1+0.534210505603721i</v>
      </c>
      <c r="AK303" s="32">
        <f t="shared" si="187"/>
        <v>1.1337463844693765</v>
      </c>
      <c r="AL303" s="32">
        <f t="shared" si="188"/>
        <v>0.49063999709035849</v>
      </c>
      <c r="AM303" s="32" t="str">
        <f t="shared" si="173"/>
        <v>1+11.5523021836805i</v>
      </c>
      <c r="AN303" s="32">
        <f t="shared" si="189"/>
        <v>11.595502824072323</v>
      </c>
      <c r="AO303" s="32">
        <f t="shared" si="190"/>
        <v>1.4844487360055127</v>
      </c>
      <c r="AP303" s="61" t="str">
        <f t="shared" si="191"/>
        <v>-0.110506556966293+0.0719255618006024i</v>
      </c>
      <c r="AQ303" s="52">
        <f t="shared" si="192"/>
        <v>-17.598256653846676</v>
      </c>
      <c r="AR303" s="64">
        <f t="shared" si="193"/>
        <v>146.9410463830572</v>
      </c>
      <c r="AS303" s="61" t="str">
        <f t="shared" si="194"/>
        <v>0.325312153349392+0.208963990748854i</v>
      </c>
      <c r="AT303" s="67">
        <f t="shared" si="195"/>
        <v>-8.2537639285577917</v>
      </c>
      <c r="AU303" s="64">
        <f t="shared" si="196"/>
        <v>32.714627455503674</v>
      </c>
    </row>
    <row r="304" spans="14:47" x14ac:dyDescent="0.25">
      <c r="N304" s="11">
        <v>86</v>
      </c>
      <c r="O304" s="53">
        <f t="shared" si="197"/>
        <v>7244.3596007499036</v>
      </c>
      <c r="P304" s="51" t="str">
        <f t="shared" si="165"/>
        <v>122.692307692308</v>
      </c>
      <c r="Q304" s="18" t="str">
        <f t="shared" si="166"/>
        <v>1+46.6555951484411i</v>
      </c>
      <c r="R304" s="18">
        <f t="shared" si="174"/>
        <v>46.666310746139345</v>
      </c>
      <c r="S304" s="18">
        <f t="shared" si="175"/>
        <v>1.5493659516139979</v>
      </c>
      <c r="T304" s="18" t="str">
        <f t="shared" si="167"/>
        <v>1+0.00933111902968824i</v>
      </c>
      <c r="U304" s="18">
        <f t="shared" si="176"/>
        <v>1.0000435339435709</v>
      </c>
      <c r="V304" s="18">
        <f t="shared" si="177"/>
        <v>9.3308482243344894E-3</v>
      </c>
      <c r="W304" s="32" t="str">
        <f t="shared" si="168"/>
        <v>1-0.442010274536735i</v>
      </c>
      <c r="X304" s="18">
        <f t="shared" si="178"/>
        <v>1.0933311862359181</v>
      </c>
      <c r="Y304" s="18">
        <f t="shared" si="179"/>
        <v>-0.41618983707094065</v>
      </c>
      <c r="Z304" s="32" t="str">
        <f t="shared" si="169"/>
        <v>0.99828634298694+0.0471678438216281i</v>
      </c>
      <c r="AA304" s="18">
        <f t="shared" si="180"/>
        <v>0.99940003406294708</v>
      </c>
      <c r="AB304" s="18">
        <f t="shared" si="181"/>
        <v>4.7213698893550322E-2</v>
      </c>
      <c r="AC304" s="69" t="str">
        <f t="shared" si="182"/>
        <v>-1.20597996594893-2.61134675490728i</v>
      </c>
      <c r="AD304" s="67">
        <f t="shared" si="183"/>
        <v>9.1769029759675096</v>
      </c>
      <c r="AE304" s="64">
        <f t="shared" si="184"/>
        <v>-114.78857854842539</v>
      </c>
      <c r="AF304" s="32" t="str">
        <f t="shared" si="170"/>
        <v>-0.0000198412698412698</v>
      </c>
      <c r="AG304" s="32" t="str">
        <f t="shared" si="171"/>
        <v>0.00157491082159616i</v>
      </c>
      <c r="AH304" s="32">
        <f t="shared" si="185"/>
        <v>1.5749108215961599E-3</v>
      </c>
      <c r="AI304" s="32">
        <f t="shared" si="186"/>
        <v>1.5707963267948966</v>
      </c>
      <c r="AJ304" s="32" t="str">
        <f t="shared" si="172"/>
        <v>1+0.546653866787047i</v>
      </c>
      <c r="AK304" s="32">
        <f t="shared" si="187"/>
        <v>1.1396624281221306</v>
      </c>
      <c r="AL304" s="32">
        <f t="shared" si="188"/>
        <v>0.50027057335067437</v>
      </c>
      <c r="AM304" s="32" t="str">
        <f t="shared" si="173"/>
        <v>1+11.8213898692699i</v>
      </c>
      <c r="AN304" s="32">
        <f t="shared" si="189"/>
        <v>11.86361068314689</v>
      </c>
      <c r="AO304" s="32">
        <f t="shared" si="190"/>
        <v>1.4864048205781948</v>
      </c>
      <c r="AP304" s="61" t="str">
        <f t="shared" si="191"/>
        <v>-0.109362244853323+0.072381639008353i</v>
      </c>
      <c r="AQ304" s="52">
        <f t="shared" si="192"/>
        <v>-17.644916961150759</v>
      </c>
      <c r="AR304" s="64">
        <f t="shared" si="193"/>
        <v>146.5013303994474</v>
      </c>
      <c r="AS304" s="61" t="str">
        <f t="shared" si="194"/>
        <v>0.320902234463642+0.198291936660479i</v>
      </c>
      <c r="AT304" s="67">
        <f t="shared" si="195"/>
        <v>-8.4680139851832461</v>
      </c>
      <c r="AU304" s="64">
        <f t="shared" si="196"/>
        <v>31.712751851021956</v>
      </c>
    </row>
    <row r="305" spans="14:47" x14ac:dyDescent="0.25">
      <c r="N305" s="11">
        <v>87</v>
      </c>
      <c r="O305" s="53">
        <f t="shared" si="197"/>
        <v>7413.1024130091773</v>
      </c>
      <c r="P305" s="51" t="str">
        <f t="shared" si="165"/>
        <v>122.692307692308</v>
      </c>
      <c r="Q305" s="18" t="str">
        <f t="shared" si="166"/>
        <v>1+47.7423435660877i</v>
      </c>
      <c r="R305" s="18">
        <f t="shared" si="174"/>
        <v>47.752815301114495</v>
      </c>
      <c r="S305" s="18">
        <f t="shared" si="175"/>
        <v>1.5498536222252579</v>
      </c>
      <c r="T305" s="18" t="str">
        <f t="shared" si="167"/>
        <v>1+0.00954846871321755i</v>
      </c>
      <c r="U305" s="18">
        <f t="shared" si="176"/>
        <v>1.0000455855883608</v>
      </c>
      <c r="V305" s="18">
        <f t="shared" si="177"/>
        <v>9.5481785407674231E-3</v>
      </c>
      <c r="W305" s="32" t="str">
        <f t="shared" si="168"/>
        <v>1-0.452306016449532i</v>
      </c>
      <c r="X305" s="18">
        <f t="shared" si="178"/>
        <v>1.0975339322847584</v>
      </c>
      <c r="Y305" s="18">
        <f t="shared" si="179"/>
        <v>-0.42476995552979568</v>
      </c>
      <c r="Z305" s="32" t="str">
        <f t="shared" si="169"/>
        <v>0.998205580820057+0.0482665240436651i</v>
      </c>
      <c r="AA305" s="18">
        <f t="shared" si="180"/>
        <v>0.99937182215808185</v>
      </c>
      <c r="AB305" s="18">
        <f t="shared" si="181"/>
        <v>4.8315658904561028E-2</v>
      </c>
      <c r="AC305" s="69" t="str">
        <f t="shared" si="182"/>
        <v>-1.20854408275453-2.54991731584405i</v>
      </c>
      <c r="AD305" s="67">
        <f t="shared" si="183"/>
        <v>9.0105801484224344</v>
      </c>
      <c r="AE305" s="64">
        <f t="shared" si="184"/>
        <v>-115.35881013958893</v>
      </c>
      <c r="AF305" s="32" t="str">
        <f t="shared" si="170"/>
        <v>-0.0000198412698412698</v>
      </c>
      <c r="AG305" s="32" t="str">
        <f t="shared" si="171"/>
        <v>0.00161159520720647i</v>
      </c>
      <c r="AH305" s="32">
        <f t="shared" si="185"/>
        <v>1.61159520720647E-3</v>
      </c>
      <c r="AI305" s="32">
        <f t="shared" si="186"/>
        <v>1.5707963267948966</v>
      </c>
      <c r="AJ305" s="32" t="str">
        <f t="shared" si="172"/>
        <v>1+0.559387071086362i</v>
      </c>
      <c r="AK305" s="32">
        <f t="shared" si="187"/>
        <v>1.1458245482178231</v>
      </c>
      <c r="AL305" s="32">
        <f t="shared" si="188"/>
        <v>0.51002159759607069</v>
      </c>
      <c r="AM305" s="32" t="str">
        <f t="shared" si="173"/>
        <v>1+12.0967454122426i</v>
      </c>
      <c r="AN305" s="32">
        <f t="shared" si="189"/>
        <v>12.138008467974158</v>
      </c>
      <c r="AO305" s="32">
        <f t="shared" si="190"/>
        <v>1.4883170049546484</v>
      </c>
      <c r="AP305" s="61" t="str">
        <f t="shared" si="191"/>
        <v>-0.108189131223688+0.0728311728742947i</v>
      </c>
      <c r="AQ305" s="52">
        <f t="shared" si="192"/>
        <v>-17.693143796519244</v>
      </c>
      <c r="AR305" s="64">
        <f t="shared" si="193"/>
        <v>146.05219795867814</v>
      </c>
      <c r="AS305" s="61" t="str">
        <f t="shared" si="194"/>
        <v>0.316464803204137+0.187853656076105i</v>
      </c>
      <c r="AT305" s="67">
        <f t="shared" si="195"/>
        <v>-8.6825636480968136</v>
      </c>
      <c r="AU305" s="64">
        <f t="shared" si="196"/>
        <v>30.693387819089203</v>
      </c>
    </row>
    <row r="306" spans="14:47" x14ac:dyDescent="0.25">
      <c r="N306" s="11">
        <v>88</v>
      </c>
      <c r="O306" s="53">
        <f t="shared" si="197"/>
        <v>7585.7757502918394</v>
      </c>
      <c r="P306" s="51" t="str">
        <f t="shared" si="165"/>
        <v>122.692307692308</v>
      </c>
      <c r="Q306" s="18" t="str">
        <f t="shared" si="166"/>
        <v>1+48.8544056062377i</v>
      </c>
      <c r="R306" s="18">
        <f t="shared" si="174"/>
        <v>48.86463902597449</v>
      </c>
      <c r="S306" s="18">
        <f t="shared" si="175"/>
        <v>1.5503302017252072</v>
      </c>
      <c r="T306" s="18" t="str">
        <f t="shared" si="167"/>
        <v>1+0.00977088112124755i</v>
      </c>
      <c r="U306" s="18">
        <f t="shared" si="176"/>
        <v>1.0000477339196792</v>
      </c>
      <c r="V306" s="18">
        <f t="shared" si="177"/>
        <v>9.7705701966669303E-3</v>
      </c>
      <c r="W306" s="32" t="str">
        <f t="shared" si="168"/>
        <v>1-0.46284157699923i</v>
      </c>
      <c r="X306" s="18">
        <f t="shared" si="178"/>
        <v>1.1019175674246846</v>
      </c>
      <c r="Y306" s="18">
        <f t="shared" si="179"/>
        <v>-0.43348151844752053</v>
      </c>
      <c r="Z306" s="32" t="str">
        <f t="shared" si="169"/>
        <v>0.998121012449511+0.049390795815633i</v>
      </c>
      <c r="AA306" s="18">
        <f t="shared" si="180"/>
        <v>0.99934228680894843</v>
      </c>
      <c r="AB306" s="18">
        <f t="shared" si="181"/>
        <v>4.9443445065907865E-2</v>
      </c>
      <c r="AC306" s="69" t="str">
        <f t="shared" si="182"/>
        <v>-1.21099319576219-2.48983468852823i</v>
      </c>
      <c r="AD306" s="67">
        <f t="shared" si="183"/>
        <v>8.8455642473702749</v>
      </c>
      <c r="AE306" s="64">
        <f t="shared" si="184"/>
        <v>-115.93712720564329</v>
      </c>
      <c r="AF306" s="32" t="str">
        <f t="shared" si="170"/>
        <v>-0.0000198412698412698</v>
      </c>
      <c r="AG306" s="32" t="str">
        <f t="shared" si="171"/>
        <v>0.00164913408192763i</v>
      </c>
      <c r="AH306" s="32">
        <f t="shared" si="185"/>
        <v>1.6491340819276301E-3</v>
      </c>
      <c r="AI306" s="32">
        <f t="shared" si="186"/>
        <v>1.5707963267948966</v>
      </c>
      <c r="AJ306" s="32" t="str">
        <f t="shared" si="172"/>
        <v>1+0.57241686981513i</v>
      </c>
      <c r="AK306" s="32">
        <f t="shared" si="187"/>
        <v>1.1522417597227379</v>
      </c>
      <c r="AL306" s="32">
        <f t="shared" si="188"/>
        <v>0.51989082200301207</v>
      </c>
      <c r="AM306" s="32" t="str">
        <f t="shared" si="173"/>
        <v>1+12.3785148097522i</v>
      </c>
      <c r="AN306" s="32">
        <f t="shared" si="189"/>
        <v>12.418841688952096</v>
      </c>
      <c r="AO306" s="32">
        <f t="shared" si="190"/>
        <v>1.4901862470347904</v>
      </c>
      <c r="AP306" s="61" t="str">
        <f t="shared" si="191"/>
        <v>-0.106987405602741+0.0732727218756306i</v>
      </c>
      <c r="AQ306" s="52">
        <f t="shared" si="192"/>
        <v>-17.742980473100619</v>
      </c>
      <c r="AR306" s="64">
        <f t="shared" si="193"/>
        <v>145.59383273517321</v>
      </c>
      <c r="AS306" s="61" t="str">
        <f t="shared" si="194"/>
        <v>0.311997984865995+0.17764818607898i</v>
      </c>
      <c r="AT306" s="67">
        <f t="shared" si="195"/>
        <v>-8.8974162257303497</v>
      </c>
      <c r="AU306" s="64">
        <f t="shared" si="196"/>
        <v>29.656705529529962</v>
      </c>
    </row>
    <row r="307" spans="14:47" x14ac:dyDescent="0.25">
      <c r="N307" s="11">
        <v>89</v>
      </c>
      <c r="O307" s="53">
        <f t="shared" si="197"/>
        <v>7762.4711662869322</v>
      </c>
      <c r="P307" s="51" t="str">
        <f t="shared" si="165"/>
        <v>122.692307692308</v>
      </c>
      <c r="Q307" s="18" t="str">
        <f t="shared" si="166"/>
        <v>1+49.9923708989047i</v>
      </c>
      <c r="R307" s="18">
        <f t="shared" si="174"/>
        <v>50.002371424699987</v>
      </c>
      <c r="S307" s="18">
        <f t="shared" si="175"/>
        <v>1.5507959419361519</v>
      </c>
      <c r="T307" s="18" t="str">
        <f t="shared" si="167"/>
        <v>1+0.00999847417978095i</v>
      </c>
      <c r="U307" s="18">
        <f t="shared" si="176"/>
        <v>1.000049983493787</v>
      </c>
      <c r="V307" s="18">
        <f t="shared" si="177"/>
        <v>9.9981410189896782E-3</v>
      </c>
      <c r="W307" s="32" t="str">
        <f t="shared" si="168"/>
        <v>1-0.473622542279485i</v>
      </c>
      <c r="X307" s="18">
        <f t="shared" si="178"/>
        <v>1.106489183207537</v>
      </c>
      <c r="Y307" s="18">
        <f t="shared" si="179"/>
        <v>-0.44232385472282199</v>
      </c>
      <c r="Z307" s="32" t="str">
        <f t="shared" si="169"/>
        <v>0.998032458494451+0.0505412552413069i</v>
      </c>
      <c r="AA307" s="18">
        <f t="shared" si="180"/>
        <v>0.99931136623669248</v>
      </c>
      <c r="AB307" s="18">
        <f t="shared" si="181"/>
        <v>5.0597670263698991E-2</v>
      </c>
      <c r="AC307" s="69" t="str">
        <f t="shared" si="182"/>
        <v>-1.2133324840778-2.43106731249196i</v>
      </c>
      <c r="AD307" s="67">
        <f t="shared" si="183"/>
        <v>8.6818957180361949</v>
      </c>
      <c r="AE307" s="64">
        <f t="shared" si="184"/>
        <v>-116.52353408847186</v>
      </c>
      <c r="AF307" s="32" t="str">
        <f t="shared" si="170"/>
        <v>-0.0000198412698412698</v>
      </c>
      <c r="AG307" s="32" t="str">
        <f t="shared" si="171"/>
        <v>0.00168754734936791i</v>
      </c>
      <c r="AH307" s="32">
        <f t="shared" si="185"/>
        <v>1.68754734936791E-3</v>
      </c>
      <c r="AI307" s="32">
        <f t="shared" si="186"/>
        <v>1.5707963267948966</v>
      </c>
      <c r="AJ307" s="32" t="str">
        <f t="shared" si="172"/>
        <v>1+0.585750171545108i</v>
      </c>
      <c r="AK307" s="32">
        <f t="shared" si="187"/>
        <v>1.1589233207874987</v>
      </c>
      <c r="AL307" s="32">
        <f t="shared" si="188"/>
        <v>0.52987578846824313</v>
      </c>
      <c r="AM307" s="32" t="str">
        <f t="shared" si="173"/>
        <v>1+12.666847459663i</v>
      </c>
      <c r="AN307" s="32">
        <f t="shared" si="189"/>
        <v>12.706259267241911</v>
      </c>
      <c r="AO307" s="32">
        <f t="shared" si="190"/>
        <v>1.49201348563637</v>
      </c>
      <c r="AP307" s="61" t="str">
        <f t="shared" si="191"/>
        <v>-0.105757328991517+0.0737048332332965i</v>
      </c>
      <c r="AQ307" s="52">
        <f t="shared" si="192"/>
        <v>-17.79446986078484</v>
      </c>
      <c r="AR307" s="64">
        <f t="shared" si="193"/>
        <v>145.12642935816984</v>
      </c>
      <c r="AS307" s="61" t="str">
        <f t="shared" si="194"/>
        <v>0.307500213540849+0.16767471717224i</v>
      </c>
      <c r="AT307" s="67">
        <f t="shared" si="195"/>
        <v>-9.1125741427486329</v>
      </c>
      <c r="AU307" s="64">
        <f t="shared" si="196"/>
        <v>28.60289526969801</v>
      </c>
    </row>
    <row r="308" spans="14:47" x14ac:dyDescent="0.25">
      <c r="N308" s="11">
        <v>90</v>
      </c>
      <c r="O308" s="53">
        <f t="shared" si="197"/>
        <v>7943.2823472428154</v>
      </c>
      <c r="P308" s="51" t="str">
        <f t="shared" si="165"/>
        <v>122.692307692308</v>
      </c>
      <c r="Q308" s="18" t="str">
        <f t="shared" si="166"/>
        <v>1+51.1568428083494i</v>
      </c>
      <c r="R308" s="18">
        <f t="shared" si="174"/>
        <v>51.166615738371533</v>
      </c>
      <c r="S308" s="18">
        <f t="shared" si="175"/>
        <v>1.5512510889910489</v>
      </c>
      <c r="T308" s="18" t="str">
        <f t="shared" si="167"/>
        <v>1+0.0102313685616699i</v>
      </c>
      <c r="U308" s="18">
        <f t="shared" si="176"/>
        <v>1.0000523390816327</v>
      </c>
      <c r="V308" s="18">
        <f t="shared" si="177"/>
        <v>1.0231011574459369E-2</v>
      </c>
      <c r="W308" s="32" t="str">
        <f t="shared" si="168"/>
        <v>1-0.484654628500792i</v>
      </c>
      <c r="X308" s="18">
        <f t="shared" si="178"/>
        <v>1.1112560951136514</v>
      </c>
      <c r="Y308" s="18">
        <f t="shared" si="179"/>
        <v>-0.45129612082554826</v>
      </c>
      <c r="Z308" s="32" t="str">
        <f t="shared" si="169"/>
        <v>0.997939731120065+0.0517185123095022i</v>
      </c>
      <c r="AA308" s="18">
        <f t="shared" si="180"/>
        <v>0.99927899580822543</v>
      </c>
      <c r="AB308" s="18">
        <f t="shared" si="181"/>
        <v>5.1778962469807677E-2</v>
      </c>
      <c r="AC308" s="69" t="str">
        <f t="shared" si="182"/>
        <v>-1.21556689479098-2.37358430133127i</v>
      </c>
      <c r="AD308" s="67">
        <f t="shared" si="183"/>
        <v>8.5196153872822169</v>
      </c>
      <c r="AE308" s="64">
        <f t="shared" si="184"/>
        <v>-117.11802563191016</v>
      </c>
      <c r="AF308" s="32" t="str">
        <f t="shared" si="170"/>
        <v>-0.0000198412698412698</v>
      </c>
      <c r="AG308" s="32" t="str">
        <f t="shared" si="171"/>
        <v>0.00172685537675014i</v>
      </c>
      <c r="AH308" s="32">
        <f t="shared" si="185"/>
        <v>1.72685537675014E-3</v>
      </c>
      <c r="AI308" s="32">
        <f t="shared" si="186"/>
        <v>1.5707963267948966</v>
      </c>
      <c r="AJ308" s="32" t="str">
        <f t="shared" si="172"/>
        <v>1+0.599394045769358i</v>
      </c>
      <c r="AK308" s="32">
        <f t="shared" si="187"/>
        <v>1.1658787338757659</v>
      </c>
      <c r="AL308" s="32">
        <f t="shared" si="188"/>
        <v>0.53997382657555515</v>
      </c>
      <c r="AM308" s="32" t="str">
        <f t="shared" si="173"/>
        <v>1+12.9618962397624i</v>
      </c>
      <c r="AN308" s="32">
        <f t="shared" si="189"/>
        <v>13.000413613818855</v>
      </c>
      <c r="AO308" s="32">
        <f t="shared" si="190"/>
        <v>1.493799640751968</v>
      </c>
      <c r="AP308" s="61" t="str">
        <f t="shared" si="191"/>
        <v>-0.104499236352217+0.0741260472355493i</v>
      </c>
      <c r="AQ308" s="52">
        <f t="shared" si="192"/>
        <v>-17.847654289170588</v>
      </c>
      <c r="AR308" s="64">
        <f t="shared" si="193"/>
        <v>144.65019354293784</v>
      </c>
      <c r="AS308" s="61" t="str">
        <f t="shared" si="194"/>
        <v>0.302970234278733+0.157932577845482i</v>
      </c>
      <c r="AT308" s="67">
        <f t="shared" si="195"/>
        <v>-9.3280389018883749</v>
      </c>
      <c r="AU308" s="64">
        <f t="shared" si="196"/>
        <v>27.53216791102767</v>
      </c>
    </row>
    <row r="309" spans="14:47" x14ac:dyDescent="0.25">
      <c r="N309" s="11">
        <v>91</v>
      </c>
      <c r="O309" s="53">
        <f t="shared" si="197"/>
        <v>8128.3051616410066</v>
      </c>
      <c r="P309" s="51" t="str">
        <f t="shared" si="165"/>
        <v>122.692307692308</v>
      </c>
      <c r="Q309" s="18" t="str">
        <f t="shared" si="166"/>
        <v>1+52.3484387529922i</v>
      </c>
      <c r="R309" s="18">
        <f t="shared" si="174"/>
        <v>52.35798926501834</v>
      </c>
      <c r="S309" s="18">
        <f t="shared" si="175"/>
        <v>1.5516958834601569</v>
      </c>
      <c r="T309" s="18" t="str">
        <f t="shared" si="167"/>
        <v>1+0.0104696877505984i</v>
      </c>
      <c r="U309" s="18">
        <f t="shared" si="176"/>
        <v>1.0000548056789662</v>
      </c>
      <c r="V309" s="18">
        <f t="shared" si="177"/>
        <v>1.0469305233042774E-2</v>
      </c>
      <c r="W309" s="32" t="str">
        <f t="shared" si="168"/>
        <v>1-0.495943685021294i</v>
      </c>
      <c r="X309" s="18">
        <f t="shared" si="178"/>
        <v>1.1162258457465051</v>
      </c>
      <c r="Y309" s="18">
        <f t="shared" si="179"/>
        <v>-0.46039729472595486</v>
      </c>
      <c r="Z309" s="32" t="str">
        <f t="shared" si="169"/>
        <v>0.997842633639159+0.0529231912174997i</v>
      </c>
      <c r="AA309" s="18">
        <f t="shared" si="180"/>
        <v>0.99924510790725274</v>
      </c>
      <c r="AB309" s="18">
        <f t="shared" si="181"/>
        <v>5.2987965151227362E-2</v>
      </c>
      <c r="AC309" s="69" t="str">
        <f t="shared" si="182"/>
        <v>-1.21770115334252-2.31735542762757i</v>
      </c>
      <c r="AD309" s="67">
        <f t="shared" si="183"/>
        <v>8.3587643998104646</v>
      </c>
      <c r="AE309" s="64">
        <f t="shared" si="184"/>
        <v>-117.7205868609926</v>
      </c>
      <c r="AF309" s="32" t="str">
        <f t="shared" si="170"/>
        <v>-0.0000198412698412698</v>
      </c>
      <c r="AG309" s="32" t="str">
        <f t="shared" si="171"/>
        <v>0.00176707900571076i</v>
      </c>
      <c r="AH309" s="32">
        <f t="shared" si="185"/>
        <v>1.7670790057107599E-3</v>
      </c>
      <c r="AI309" s="32">
        <f t="shared" si="186"/>
        <v>1.5707963267948966</v>
      </c>
      <c r="AJ309" s="32" t="str">
        <f t="shared" si="172"/>
        <v>1+0.613355726650595i</v>
      </c>
      <c r="AK309" s="32">
        <f t="shared" si="187"/>
        <v>1.1731177466116005</v>
      </c>
      <c r="AL309" s="32">
        <f t="shared" si="188"/>
        <v>0.55018205230156714</v>
      </c>
      <c r="AM309" s="32" t="str">
        <f t="shared" si="173"/>
        <v>1+13.2638175888191i</v>
      </c>
      <c r="AN309" s="32">
        <f t="shared" si="189"/>
        <v>13.301460710368124</v>
      </c>
      <c r="AO309" s="32">
        <f t="shared" si="190"/>
        <v>1.4955456138115264</v>
      </c>
      <c r="AP309" s="61" t="str">
        <f t="shared" si="191"/>
        <v>-0.103213538802195+0.0745349018734627i</v>
      </c>
      <c r="AQ309" s="52">
        <f t="shared" si="192"/>
        <v>-17.90257544701657</v>
      </c>
      <c r="AR309" s="64">
        <f t="shared" si="193"/>
        <v>144.16534217997693</v>
      </c>
      <c r="AS309" s="61" t="str">
        <f t="shared" si="194"/>
        <v>0.298407104644153+0.148421218372328i</v>
      </c>
      <c r="AT309" s="67">
        <f t="shared" si="195"/>
        <v>-9.543811047206102</v>
      </c>
      <c r="AU309" s="64">
        <f t="shared" si="196"/>
        <v>26.444755318984278</v>
      </c>
    </row>
    <row r="310" spans="14:47" x14ac:dyDescent="0.25">
      <c r="N310" s="11">
        <v>92</v>
      </c>
      <c r="O310" s="53">
        <f t="shared" si="197"/>
        <v>8317.6377110267094</v>
      </c>
      <c r="P310" s="51" t="str">
        <f t="shared" si="165"/>
        <v>122.692307692308</v>
      </c>
      <c r="Q310" s="18" t="str">
        <f t="shared" si="166"/>
        <v>1+53.567790532775i</v>
      </c>
      <c r="R310" s="18">
        <f t="shared" si="174"/>
        <v>53.577123686917524</v>
      </c>
      <c r="S310" s="18">
        <f t="shared" si="175"/>
        <v>1.5521305604749944</v>
      </c>
      <c r="T310" s="18" t="str">
        <f t="shared" si="167"/>
        <v>1+0.010713558106555i</v>
      </c>
      <c r="U310" s="18">
        <f t="shared" si="176"/>
        <v>1.0000573885169304</v>
      </c>
      <c r="V310" s="18">
        <f t="shared" si="177"/>
        <v>1.0713148232879876E-2</v>
      </c>
      <c r="W310" s="32" t="str">
        <f t="shared" si="168"/>
        <v>1-0.507495697448183i</v>
      </c>
      <c r="X310" s="18">
        <f t="shared" si="178"/>
        <v>1.1214062078160696</v>
      </c>
      <c r="Y310" s="18">
        <f t="shared" si="179"/>
        <v>-0.469626170119677</v>
      </c>
      <c r="Z310" s="32" t="str">
        <f t="shared" si="169"/>
        <v>0.997740960094959+0.0541559307020017i</v>
      </c>
      <c r="AA310" s="18">
        <f t="shared" si="180"/>
        <v>0.99920963179975941</v>
      </c>
      <c r="AB310" s="18">
        <f t="shared" si="181"/>
        <v>5.4225337693109769E-2</v>
      </c>
      <c r="AC310" s="69" t="str">
        <f t="shared" si="182"/>
        <v>-1.21973977342843-2.26235110811417i</v>
      </c>
      <c r="AD310" s="67">
        <f t="shared" si="183"/>
        <v>8.1993841494406556</v>
      </c>
      <c r="AE310" s="64">
        <f t="shared" si="184"/>
        <v>-118.33119267868712</v>
      </c>
      <c r="AF310" s="32" t="str">
        <f t="shared" si="170"/>
        <v>-0.0000198412698412698</v>
      </c>
      <c r="AG310" s="32" t="str">
        <f t="shared" si="171"/>
        <v>0.00180823956335026i</v>
      </c>
      <c r="AH310" s="32">
        <f t="shared" si="185"/>
        <v>1.80823956335026E-3</v>
      </c>
      <c r="AI310" s="32">
        <f t="shared" si="186"/>
        <v>1.5707963267948966</v>
      </c>
      <c r="AJ310" s="32" t="str">
        <f t="shared" si="172"/>
        <v>1+0.627642616856823i</v>
      </c>
      <c r="AK310" s="32">
        <f t="shared" si="187"/>
        <v>1.1806503523460621</v>
      </c>
      <c r="AL310" s="32">
        <f t="shared" si="188"/>
        <v>0.56049736750930423</v>
      </c>
      <c r="AM310" s="32" t="str">
        <f t="shared" si="173"/>
        <v>1+13.5727715895288i</v>
      </c>
      <c r="AN310" s="32">
        <f t="shared" si="189"/>
        <v>13.609560192067931</v>
      </c>
      <c r="AO310" s="32">
        <f t="shared" si="190"/>
        <v>1.4972522879495591</v>
      </c>
      <c r="AP310" s="61" t="str">
        <f t="shared" si="191"/>
        <v>-0.101900725479056+0.0749299377695i</v>
      </c>
      <c r="AQ310" s="52">
        <f t="shared" si="192"/>
        <v>-17.959274278621983</v>
      </c>
      <c r="AR310" s="64">
        <f t="shared" si="193"/>
        <v>143.67210337933977</v>
      </c>
      <c r="AS310" s="61" t="str">
        <f t="shared" si="194"/>
        <v>0.293810195551771+0.139140193887204i</v>
      </c>
      <c r="AT310" s="67">
        <f t="shared" si="195"/>
        <v>-9.7598901291813132</v>
      </c>
      <c r="AU310" s="64">
        <f t="shared" si="196"/>
        <v>25.34091070065265</v>
      </c>
    </row>
    <row r="311" spans="14:47" x14ac:dyDescent="0.25">
      <c r="N311" s="11">
        <v>93</v>
      </c>
      <c r="O311" s="53">
        <f t="shared" si="197"/>
        <v>8511.3803820237772</v>
      </c>
      <c r="P311" s="51" t="str">
        <f t="shared" si="165"/>
        <v>122.692307692308</v>
      </c>
      <c r="Q311" s="18" t="str">
        <f t="shared" si="166"/>
        <v>1+54.8155446641521i</v>
      </c>
      <c r="R311" s="18">
        <f t="shared" si="174"/>
        <v>54.824665405523945</v>
      </c>
      <c r="S311" s="18">
        <f t="shared" si="175"/>
        <v>1.5525553498496543</v>
      </c>
      <c r="T311" s="18" t="str">
        <f t="shared" si="167"/>
        <v>1+0.0109631089328304i</v>
      </c>
      <c r="U311" s="18">
        <f t="shared" si="176"/>
        <v>1.0000600930731478</v>
      </c>
      <c r="V311" s="18">
        <f t="shared" si="177"/>
        <v>1.0962669746700108E-2</v>
      </c>
      <c r="W311" s="32" t="str">
        <f t="shared" si="168"/>
        <v>1-0.51931679081136i</v>
      </c>
      <c r="X311" s="18">
        <f t="shared" si="178"/>
        <v>1.1268051868972779</v>
      </c>
      <c r="Y311" s="18">
        <f t="shared" si="179"/>
        <v>-0.47898135100048617</v>
      </c>
      <c r="Z311" s="32" t="str">
        <f t="shared" si="169"/>
        <v>0.997634494824245+0.0554173843778005i</v>
      </c>
      <c r="AA311" s="18">
        <f t="shared" si="180"/>
        <v>0.99917249349374282</v>
      </c>
      <c r="AB311" s="18">
        <f t="shared" si="181"/>
        <v>5.549175583610861E-2</v>
      </c>
      <c r="AC311" s="69" t="str">
        <f t="shared" si="182"/>
        <v>-1.2216870664607-2.20854238908527i</v>
      </c>
      <c r="AD311" s="67">
        <f t="shared" si="183"/>
        <v>8.0415162054990326</v>
      </c>
      <c r="AE311" s="64">
        <f t="shared" si="184"/>
        <v>-118.94980758314229</v>
      </c>
      <c r="AF311" s="32" t="str">
        <f t="shared" si="170"/>
        <v>-0.0000198412698412698</v>
      </c>
      <c r="AG311" s="32" t="str">
        <f t="shared" si="171"/>
        <v>0.00185035887354113i</v>
      </c>
      <c r="AH311" s="32">
        <f t="shared" si="185"/>
        <v>1.8503588735411299E-3</v>
      </c>
      <c r="AI311" s="32">
        <f t="shared" si="186"/>
        <v>1.5707963267948966</v>
      </c>
      <c r="AJ311" s="32" t="str">
        <f t="shared" si="172"/>
        <v>1+0.642262291486342i</v>
      </c>
      <c r="AK311" s="32">
        <f t="shared" si="187"/>
        <v>1.1884867904462746</v>
      </c>
      <c r="AL311" s="32">
        <f t="shared" si="188"/>
        <v>0.57091646027499909</v>
      </c>
      <c r="AM311" s="32" t="str">
        <f t="shared" si="173"/>
        <v>1+13.8889220533921i</v>
      </c>
      <c r="AN311" s="32">
        <f t="shared" si="189"/>
        <v>13.924875432304644</v>
      </c>
      <c r="AO311" s="32">
        <f t="shared" si="190"/>
        <v>1.4989205282762783</v>
      </c>
      <c r="AP311" s="61" t="str">
        <f t="shared" si="191"/>
        <v>-0.100561365040406+0.0753097033756746i</v>
      </c>
      <c r="AQ311" s="52">
        <f t="shared" si="192"/>
        <v>-18.017790877632127</v>
      </c>
      <c r="AR311" s="64">
        <f t="shared" si="193"/>
        <v>143.17071646744472</v>
      </c>
      <c r="AS311" s="61" t="str">
        <f t="shared" si="194"/>
        <v>0.289179191270113+0.130089146802961i</v>
      </c>
      <c r="AT311" s="67">
        <f t="shared" si="195"/>
        <v>-9.9762746721330835</v>
      </c>
      <c r="AU311" s="64">
        <f t="shared" si="196"/>
        <v>24.220908884302428</v>
      </c>
    </row>
    <row r="312" spans="14:47" x14ac:dyDescent="0.25">
      <c r="N312" s="11">
        <v>94</v>
      </c>
      <c r="O312" s="53">
        <f t="shared" si="197"/>
        <v>8709.6358995608189</v>
      </c>
      <c r="P312" s="51" t="str">
        <f t="shared" si="165"/>
        <v>122.692307692308</v>
      </c>
      <c r="Q312" s="18" t="str">
        <f t="shared" si="166"/>
        <v>1+56.0923627228795i</v>
      </c>
      <c r="R312" s="18">
        <f t="shared" si="174"/>
        <v>56.101275884199659</v>
      </c>
      <c r="S312" s="18">
        <f t="shared" si="175"/>
        <v>1.5529704761995218</v>
      </c>
      <c r="T312" s="18" t="str">
        <f t="shared" si="167"/>
        <v>1+0.0112184725445759i</v>
      </c>
      <c r="U312" s="18">
        <f t="shared" si="176"/>
        <v>1.0000629250833337</v>
      </c>
      <c r="V312" s="18">
        <f t="shared" si="177"/>
        <v>1.1218001949757911E-2</v>
      </c>
      <c r="W312" s="32" t="str">
        <f t="shared" si="168"/>
        <v>1-0.531413232810995i</v>
      </c>
      <c r="X312" s="18">
        <f t="shared" si="178"/>
        <v>1.1324310239509656</v>
      </c>
      <c r="Y312" s="18">
        <f t="shared" si="179"/>
        <v>-0.48846124663438012</v>
      </c>
      <c r="Z312" s="32" t="str">
        <f t="shared" si="169"/>
        <v>0.997523011999905+0.0567082210843322i</v>
      </c>
      <c r="AA312" s="18">
        <f t="shared" si="180"/>
        <v>0.99913361559298575</v>
      </c>
      <c r="AB312" s="18">
        <f t="shared" si="181"/>
        <v>5.6787912128673221E-2</v>
      </c>
      <c r="AC312" s="69" t="str">
        <f t="shared" si="182"/>
        <v>-1.22354715060382-2.15590093204574i</v>
      </c>
      <c r="AD312" s="67">
        <f t="shared" si="183"/>
        <v>7.8852022344005288</v>
      </c>
      <c r="AE312" s="64">
        <f t="shared" si="184"/>
        <v>-119.57638540854506</v>
      </c>
      <c r="AF312" s="32" t="str">
        <f t="shared" si="170"/>
        <v>-0.0000198412698412698</v>
      </c>
      <c r="AG312" s="32" t="str">
        <f t="shared" si="171"/>
        <v>0.00189345926849915i</v>
      </c>
      <c r="AH312" s="32">
        <f t="shared" si="185"/>
        <v>1.8934592684991499E-3</v>
      </c>
      <c r="AI312" s="32">
        <f t="shared" si="186"/>
        <v>1.5707963267948966</v>
      </c>
      <c r="AJ312" s="32" t="str">
        <f t="shared" si="172"/>
        <v>1+0.657222502084152i</v>
      </c>
      <c r="AK312" s="32">
        <f t="shared" si="187"/>
        <v>1.196637546312898</v>
      </c>
      <c r="AL312" s="32">
        <f t="shared" si="188"/>
        <v>0.58143580608928314</v>
      </c>
      <c r="AM312" s="32" t="str">
        <f t="shared" si="173"/>
        <v>1+14.2124366075698i</v>
      </c>
      <c r="AN312" s="32">
        <f t="shared" si="189"/>
        <v>14.247573629365464</v>
      </c>
      <c r="AO312" s="32">
        <f t="shared" si="190"/>
        <v>1.5005511821519206</v>
      </c>
      <c r="AP312" s="61" t="str">
        <f t="shared" si="191"/>
        <v>-0.0991961067632722+0.0756727604131604i</v>
      </c>
      <c r="AQ312" s="52">
        <f t="shared" si="192"/>
        <v>-18.078164378815362</v>
      </c>
      <c r="AR312" s="64">
        <f t="shared" si="193"/>
        <v>142.66143193396857</v>
      </c>
      <c r="AS312" s="61" t="str">
        <f t="shared" si="194"/>
        <v>0.284514088486401+0.121267788644399i</v>
      </c>
      <c r="AT312" s="67">
        <f t="shared" si="195"/>
        <v>-10.192962144414825</v>
      </c>
      <c r="AU312" s="64">
        <f t="shared" si="196"/>
        <v>23.085046525423433</v>
      </c>
    </row>
    <row r="313" spans="14:47" x14ac:dyDescent="0.25">
      <c r="N313" s="11">
        <v>95</v>
      </c>
      <c r="O313" s="53">
        <f t="shared" si="197"/>
        <v>8912.5093813374679</v>
      </c>
      <c r="P313" s="51" t="str">
        <f t="shared" si="165"/>
        <v>122.692307692308</v>
      </c>
      <c r="Q313" s="18" t="str">
        <f t="shared" si="166"/>
        <v>1+57.3989216947928i</v>
      </c>
      <c r="R313" s="18">
        <f t="shared" si="174"/>
        <v>57.40763199893334</v>
      </c>
      <c r="S313" s="18">
        <f t="shared" si="175"/>
        <v>1.5533761590574444</v>
      </c>
      <c r="T313" s="18" t="str">
        <f t="shared" si="167"/>
        <v>1+0.0114797843389586i</v>
      </c>
      <c r="U313" s="18">
        <f t="shared" si="176"/>
        <v>1.0000658905534521</v>
      </c>
      <c r="V313" s="18">
        <f t="shared" si="177"/>
        <v>1.1479280089320512E-2</v>
      </c>
      <c r="W313" s="32" t="str">
        <f t="shared" si="168"/>
        <v>1-0.543791437140752i</v>
      </c>
      <c r="X313" s="18">
        <f t="shared" si="178"/>
        <v>1.1382921975958564</v>
      </c>
      <c r="Y313" s="18">
        <f t="shared" si="179"/>
        <v>-0.498064066989724</v>
      </c>
      <c r="Z313" s="32" t="str">
        <f t="shared" si="169"/>
        <v>0.997406275151921+0.0580291252403048i</v>
      </c>
      <c r="AA313" s="18">
        <f t="shared" si="180"/>
        <v>0.99909291714463888</v>
      </c>
      <c r="AB313" s="18">
        <f t="shared" si="181"/>
        <v>5.811451639498847E-2</v>
      </c>
      <c r="AC313" s="69" t="str">
        <f t="shared" si="182"/>
        <v>-1.22532395940538-2.10439899959766i</v>
      </c>
      <c r="AD313" s="67">
        <f t="shared" si="183"/>
        <v>7.7304839165438235</v>
      </c>
      <c r="AE313" s="64">
        <f t="shared" si="184"/>
        <v>-120.21086909277643</v>
      </c>
      <c r="AF313" s="32" t="str">
        <f t="shared" si="170"/>
        <v>-0.0000198412698412698</v>
      </c>
      <c r="AG313" s="32" t="str">
        <f t="shared" si="171"/>
        <v>0.00193756360062423i</v>
      </c>
      <c r="AH313" s="32">
        <f t="shared" si="185"/>
        <v>1.93756360062423E-3</v>
      </c>
      <c r="AI313" s="32">
        <f t="shared" si="186"/>
        <v>1.5707963267948966</v>
      </c>
      <c r="AJ313" s="32" t="str">
        <f t="shared" si="172"/>
        <v>1+0.672531180751936i</v>
      </c>
      <c r="AK313" s="32">
        <f t="shared" si="187"/>
        <v>1.2051133511349017</v>
      </c>
      <c r="AL313" s="32">
        <f t="shared" si="188"/>
        <v>0.59205166996908232</v>
      </c>
      <c r="AM313" s="32" t="str">
        <f t="shared" si="173"/>
        <v>1+14.5434867837606i</v>
      </c>
      <c r="AN313" s="32">
        <f t="shared" si="189"/>
        <v>14.577825895153884</v>
      </c>
      <c r="AO313" s="32">
        <f t="shared" si="190"/>
        <v>1.5021450794635998</v>
      </c>
      <c r="AP313" s="61" t="str">
        <f t="shared" si="191"/>
        <v>-0.0978056812103371+0.0760176895205443i</v>
      </c>
      <c r="AQ313" s="52">
        <f t="shared" si="192"/>
        <v>-18.140432848406626</v>
      </c>
      <c r="AR313" s="64">
        <f t="shared" si="193"/>
        <v>142.14451132670715</v>
      </c>
      <c r="AS313" s="61" t="str">
        <f t="shared" si="194"/>
        <v>0.27981519433175+0.112675881385839i</v>
      </c>
      <c r="AT313" s="67">
        <f t="shared" si="195"/>
        <v>-10.40994893186279</v>
      </c>
      <c r="AU313" s="64">
        <f t="shared" si="196"/>
        <v>21.933642233930705</v>
      </c>
    </row>
    <row r="314" spans="14:47" x14ac:dyDescent="0.25">
      <c r="N314" s="11">
        <v>96</v>
      </c>
      <c r="O314" s="53">
        <f t="shared" si="197"/>
        <v>9120.1083935591087</v>
      </c>
      <c r="P314" s="51" t="str">
        <f t="shared" si="165"/>
        <v>122.692307692308</v>
      </c>
      <c r="Q314" s="18" t="str">
        <f t="shared" si="166"/>
        <v>1+58.7359143347532i</v>
      </c>
      <c r="R314" s="18">
        <f t="shared" si="174"/>
        <v>58.744426397229091</v>
      </c>
      <c r="S314" s="18">
        <f t="shared" si="175"/>
        <v>1.5537726129874032</v>
      </c>
      <c r="T314" s="18" t="str">
        <f t="shared" si="167"/>
        <v>1+0.0117471828669507i</v>
      </c>
      <c r="U314" s="18">
        <f t="shared" si="176"/>
        <v>1.0000689957724465</v>
      </c>
      <c r="V314" s="18">
        <f t="shared" si="177"/>
        <v>1.1746642555742088E-2</v>
      </c>
      <c r="W314" s="32" t="str">
        <f t="shared" si="168"/>
        <v>1-0.556457966888411i</v>
      </c>
      <c r="X314" s="18">
        <f t="shared" si="178"/>
        <v>1.1443974261215306</v>
      </c>
      <c r="Y314" s="18">
        <f t="shared" si="179"/>
        <v>-0.50778781867873346</v>
      </c>
      <c r="Z314" s="32" t="str">
        <f t="shared" si="169"/>
        <v>0.997284036665787+0.0593807972065862i</v>
      </c>
      <c r="AA314" s="18">
        <f t="shared" si="180"/>
        <v>0.99905031348040552</v>
      </c>
      <c r="AB314" s="18">
        <f t="shared" si="181"/>
        <v>5.9472296219287943E-2</v>
      </c>
      <c r="AC314" s="69" t="str">
        <f t="shared" si="182"/>
        <v>-1.22702125003804-2.05400944156162i</v>
      </c>
      <c r="AD314" s="67">
        <f t="shared" si="183"/>
        <v>7.5774028586924382</v>
      </c>
      <c r="AE314" s="64">
        <f t="shared" si="184"/>
        <v>-120.85319047506205</v>
      </c>
      <c r="AF314" s="32" t="str">
        <f t="shared" si="170"/>
        <v>-0.0000198412698412698</v>
      </c>
      <c r="AG314" s="32" t="str">
        <f t="shared" si="171"/>
        <v>0.00198269525461704i</v>
      </c>
      <c r="AH314" s="32">
        <f t="shared" si="185"/>
        <v>1.9826952546170402E-3</v>
      </c>
      <c r="AI314" s="32">
        <f t="shared" si="186"/>
        <v>1.5707963267948966</v>
      </c>
      <c r="AJ314" s="32" t="str">
        <f t="shared" si="172"/>
        <v>1+0.688196444353757i</v>
      </c>
      <c r="AK314" s="32">
        <f t="shared" si="187"/>
        <v>1.2139251813934637</v>
      </c>
      <c r="AL314" s="32">
        <f t="shared" si="188"/>
        <v>0.60276010951078218</v>
      </c>
      <c r="AM314" s="32" t="str">
        <f t="shared" si="173"/>
        <v>1+14.88224810915i</v>
      </c>
      <c r="AN314" s="32">
        <f t="shared" si="189"/>
        <v>14.91580734597691</v>
      </c>
      <c r="AO314" s="32">
        <f t="shared" si="190"/>
        <v>1.503703032904091</v>
      </c>
      <c r="AP314" s="61" t="str">
        <f t="shared" si="191"/>
        <v>-0.096390900432929+0.076343096073434i</v>
      </c>
      <c r="AQ314" s="52">
        <f t="shared" si="192"/>
        <v>-18.204633173654027</v>
      </c>
      <c r="AR314" s="64">
        <f t="shared" si="193"/>
        <v>141.62022709261495</v>
      </c>
      <c r="AS314" s="61" t="str">
        <f t="shared" si="194"/>
        <v>0.275083123274384+0.104313218394063i</v>
      </c>
      <c r="AT314" s="67">
        <f t="shared" si="195"/>
        <v>-10.627230314961588</v>
      </c>
      <c r="AU314" s="64">
        <f t="shared" si="196"/>
        <v>20.767036617552911</v>
      </c>
    </row>
    <row r="315" spans="14:47" x14ac:dyDescent="0.25">
      <c r="N315" s="11">
        <v>97</v>
      </c>
      <c r="O315" s="53">
        <f t="shared" si="197"/>
        <v>9332.5430079699217</v>
      </c>
      <c r="P315" s="51" t="str">
        <f t="shared" si="165"/>
        <v>122.692307692308</v>
      </c>
      <c r="Q315" s="18" t="str">
        <f t="shared" si="166"/>
        <v>1+60.1040495339555i</v>
      </c>
      <c r="R315" s="18">
        <f t="shared" si="174"/>
        <v>60.112367865358422</v>
      </c>
      <c r="S315" s="18">
        <f t="shared" si="175"/>
        <v>1.5541600476957305</v>
      </c>
      <c r="T315" s="18" t="str">
        <f t="shared" si="167"/>
        <v>1+0.0120208099067911i</v>
      </c>
      <c r="U315" s="18">
        <f t="shared" si="176"/>
        <v>1.0000722473255694</v>
      </c>
      <c r="V315" s="18">
        <f t="shared" si="177"/>
        <v>1.2020230955159123E-2</v>
      </c>
      <c r="W315" s="32" t="str">
        <f t="shared" si="168"/>
        <v>1-0.569419538015706i</v>
      </c>
      <c r="X315" s="18">
        <f t="shared" si="178"/>
        <v>1.1507556692339256</v>
      </c>
      <c r="Y315" s="18">
        <f t="shared" si="179"/>
        <v>-0.51763030146571931</v>
      </c>
      <c r="Z315" s="32" t="str">
        <f t="shared" si="169"/>
        <v>0.997156037257286+0.0607639536575441i</v>
      </c>
      <c r="AA315" s="18">
        <f t="shared" si="180"/>
        <v>0.99900571605108957</v>
      </c>
      <c r="AB315" s="18">
        <f t="shared" si="181"/>
        <v>6.0861997447314478E-2</v>
      </c>
      <c r="AC315" s="69" t="str">
        <f t="shared" si="182"/>
        <v>-1.22864261116965-2.00470568132846i</v>
      </c>
      <c r="AD315" s="67">
        <f t="shared" si="183"/>
        <v>7.4260005020582254</v>
      </c>
      <c r="AE315" s="64">
        <f t="shared" si="184"/>
        <v>-121.50327012685027</v>
      </c>
      <c r="AF315" s="32" t="str">
        <f t="shared" si="170"/>
        <v>-0.0000198412698412698</v>
      </c>
      <c r="AG315" s="32" t="str">
        <f t="shared" si="171"/>
        <v>0.00202887815987792i</v>
      </c>
      <c r="AH315" s="32">
        <f t="shared" si="185"/>
        <v>2.0288781598779199E-3</v>
      </c>
      <c r="AI315" s="32">
        <f t="shared" si="186"/>
        <v>1.5707963267948966</v>
      </c>
      <c r="AJ315" s="32" t="str">
        <f t="shared" si="172"/>
        <v>1+0.704226598819731i</v>
      </c>
      <c r="AK315" s="32">
        <f t="shared" si="187"/>
        <v>1.2230842581299157</v>
      </c>
      <c r="AL315" s="32">
        <f t="shared" si="188"/>
        <v>0.61355697890888994</v>
      </c>
      <c r="AM315" s="32" t="str">
        <f t="shared" si="173"/>
        <v>1+15.2289001994767i</v>
      </c>
      <c r="AN315" s="32">
        <f t="shared" si="189"/>
        <v>15.261697195450493</v>
      </c>
      <c r="AO315" s="32">
        <f t="shared" si="190"/>
        <v>1.505225838251965</v>
      </c>
      <c r="AP315" s="61" t="str">
        <f t="shared" si="191"/>
        <v>-0.094952657684069+0.0766476161338115i</v>
      </c>
      <c r="AQ315" s="52">
        <f t="shared" si="192"/>
        <v>-18.270800952249211</v>
      </c>
      <c r="AR315" s="64">
        <f t="shared" si="193"/>
        <v>141.08886236360243</v>
      </c>
      <c r="AS315" s="61" t="str">
        <f t="shared" si="194"/>
        <v>0.270318792798187+0.0961796050899144i</v>
      </c>
      <c r="AT315" s="67">
        <f t="shared" si="195"/>
        <v>-10.844800450190995</v>
      </c>
      <c r="AU315" s="64">
        <f t="shared" si="196"/>
        <v>19.585592236752177</v>
      </c>
    </row>
    <row r="316" spans="14:47" x14ac:dyDescent="0.25">
      <c r="N316" s="11">
        <v>98</v>
      </c>
      <c r="O316" s="53">
        <f t="shared" si="197"/>
        <v>9549.9258602143691</v>
      </c>
      <c r="P316" s="51" t="str">
        <f t="shared" si="165"/>
        <v>122.692307692308</v>
      </c>
      <c r="Q316" s="18" t="str">
        <f t="shared" si="166"/>
        <v>1+61.5040526957921i</v>
      </c>
      <c r="R316" s="18">
        <f t="shared" si="174"/>
        <v>61.512181704169549</v>
      </c>
      <c r="S316" s="18">
        <f t="shared" si="175"/>
        <v>1.5545386681399205</v>
      </c>
      <c r="T316" s="18" t="str">
        <f t="shared" si="167"/>
        <v>1+0.0123008105391584i</v>
      </c>
      <c r="U316" s="18">
        <f t="shared" si="176"/>
        <v>1.0000756521083394</v>
      </c>
      <c r="V316" s="18">
        <f t="shared" si="177"/>
        <v>1.2300190183842432E-2</v>
      </c>
      <c r="W316" s="32" t="str">
        <f t="shared" si="168"/>
        <v>1-0.582683022919218i</v>
      </c>
      <c r="X316" s="18">
        <f t="shared" si="178"/>
        <v>1.1573761295267317</v>
      </c>
      <c r="Y316" s="18">
        <f t="shared" si="179"/>
        <v>-0.52758910539701098</v>
      </c>
      <c r="Z316" s="32" t="str">
        <f t="shared" si="169"/>
        <v>0.997022005422511+0.0621793279610375i</v>
      </c>
      <c r="AA316" s="18">
        <f t="shared" si="180"/>
        <v>0.99895903225428218</v>
      </c>
      <c r="AB316" s="18">
        <f t="shared" si="181"/>
        <v>6.2284384705750907E-2</v>
      </c>
      <c r="AC316" s="69" t="str">
        <f t="shared" si="182"/>
        <v>-1.23019147047713-1.95646170243817i</v>
      </c>
      <c r="AD316" s="67">
        <f t="shared" si="183"/>
        <v>7.276318026357691</v>
      </c>
      <c r="AE316" s="64">
        <f t="shared" si="184"/>
        <v>-122.16101721910333</v>
      </c>
      <c r="AF316" s="32" t="str">
        <f t="shared" si="170"/>
        <v>-0.0000198412698412698</v>
      </c>
      <c r="AG316" s="32" t="str">
        <f t="shared" si="171"/>
        <v>0.00207613680319454i</v>
      </c>
      <c r="AH316" s="32">
        <f t="shared" si="185"/>
        <v>2.0761368031945401E-3</v>
      </c>
      <c r="AI316" s="32">
        <f t="shared" si="186"/>
        <v>1.5707963267948966</v>
      </c>
      <c r="AJ316" s="32" t="str">
        <f t="shared" si="172"/>
        <v>1+0.720630143549942i</v>
      </c>
      <c r="AK316" s="32">
        <f t="shared" si="187"/>
        <v>1.2326020459957099</v>
      </c>
      <c r="AL316" s="32">
        <f t="shared" si="188"/>
        <v>0.62443793395732461</v>
      </c>
      <c r="AM316" s="32" t="str">
        <f t="shared" si="173"/>
        <v>1+15.5836268542675i</v>
      </c>
      <c r="AN316" s="32">
        <f t="shared" si="189"/>
        <v>15.615678849574461</v>
      </c>
      <c r="AO316" s="32">
        <f t="shared" si="190"/>
        <v>1.5067142746525657</v>
      </c>
      <c r="AP316" s="61" t="str">
        <f t="shared" si="191"/>
        <v>-0.0934919266189933+0.0769299224835838i</v>
      </c>
      <c r="AQ316" s="52">
        <f t="shared" si="192"/>
        <v>-18.338970382351512</v>
      </c>
      <c r="AR316" s="64">
        <f t="shared" si="193"/>
        <v>140.55071068608365</v>
      </c>
      <c r="AS316" s="61" t="str">
        <f t="shared" si="194"/>
        <v>0.265523417795828+0.0882748394534486i</v>
      </c>
      <c r="AT316" s="67">
        <f t="shared" si="195"/>
        <v>-11.062652355993821</v>
      </c>
      <c r="AU316" s="64">
        <f t="shared" si="196"/>
        <v>18.389693466980315</v>
      </c>
    </row>
    <row r="317" spans="14:47" x14ac:dyDescent="0.25">
      <c r="N317" s="11">
        <v>99</v>
      </c>
      <c r="O317" s="53">
        <f t="shared" si="197"/>
        <v>9772.3722095581161</v>
      </c>
      <c r="P317" s="51" t="str">
        <f t="shared" si="165"/>
        <v>122.692307692308</v>
      </c>
      <c r="Q317" s="18" t="str">
        <f t="shared" si="166"/>
        <v>1+62.9366661204703i</v>
      </c>
      <c r="R317" s="18">
        <f t="shared" si="174"/>
        <v>62.944610113651144</v>
      </c>
      <c r="S317" s="18">
        <f t="shared" si="175"/>
        <v>1.5549086746350829</v>
      </c>
      <c r="T317" s="18" t="str">
        <f t="shared" si="167"/>
        <v>1+0.0125873332240941i</v>
      </c>
      <c r="U317" s="18">
        <f t="shared" si="176"/>
        <v>1.0000792173411537</v>
      </c>
      <c r="V317" s="18">
        <f t="shared" si="177"/>
        <v>1.2586668504240651E-2</v>
      </c>
      <c r="W317" s="32" t="str">
        <f t="shared" si="168"/>
        <v>1-0.596255454074202i</v>
      </c>
      <c r="X317" s="18">
        <f t="shared" si="178"/>
        <v>1.1642682536740547</v>
      </c>
      <c r="Y317" s="18">
        <f t="shared" si="179"/>
        <v>-0.53766160860634882</v>
      </c>
      <c r="Z317" s="32" t="str">
        <f t="shared" si="169"/>
        <v>0.996881656861971+0.0636276705672564i</v>
      </c>
      <c r="AA317" s="18">
        <f t="shared" si="180"/>
        <v>0.99891016525495624</v>
      </c>
      <c r="AB317" s="18">
        <f t="shared" si="181"/>
        <v>6.3740241940484943E-2</v>
      </c>
      <c r="AC317" s="69" t="str">
        <f t="shared" si="182"/>
        <v>-1.23167110181953-1.90925203538216i</v>
      </c>
      <c r="AD317" s="67">
        <f t="shared" si="183"/>
        <v>7.1283962501641129</v>
      </c>
      <c r="AE317" s="64">
        <f t="shared" si="184"/>
        <v>-122.82632942913848</v>
      </c>
      <c r="AF317" s="32" t="str">
        <f t="shared" si="170"/>
        <v>-0.0000198412698412698</v>
      </c>
      <c r="AG317" s="32" t="str">
        <f t="shared" si="171"/>
        <v>0.00212449624172514i</v>
      </c>
      <c r="AH317" s="32">
        <f t="shared" si="185"/>
        <v>2.1244962417251399E-3</v>
      </c>
      <c r="AI317" s="32">
        <f t="shared" si="186"/>
        <v>1.5707963267948966</v>
      </c>
      <c r="AJ317" s="32" t="str">
        <f t="shared" si="172"/>
        <v>1+0.73741577592093i</v>
      </c>
      <c r="AK317" s="32">
        <f t="shared" si="187"/>
        <v>1.2424902521054511</v>
      </c>
      <c r="AL317" s="32">
        <f t="shared" si="188"/>
        <v>0.63539843804279728</v>
      </c>
      <c r="AM317" s="32" t="str">
        <f t="shared" si="173"/>
        <v>1+15.9466161542901i</v>
      </c>
      <c r="AN317" s="32">
        <f t="shared" si="189"/>
        <v>15.977940004026363</v>
      </c>
      <c r="AO317" s="32">
        <f t="shared" si="190"/>
        <v>1.5081691048993437</v>
      </c>
      <c r="AP317" s="61" t="str">
        <f t="shared" si="191"/>
        <v>-0.0920097599651452+0.0771887306932016i</v>
      </c>
      <c r="AQ317" s="52">
        <f t="shared" si="192"/>
        <v>-18.409174153949547</v>
      </c>
      <c r="AR317" s="64">
        <f t="shared" si="193"/>
        <v>140.00607569369859</v>
      </c>
      <c r="AS317" s="61" t="str">
        <f t="shared" si="194"/>
        <v>0.260698503618981+0.0805986925075309i</v>
      </c>
      <c r="AT317" s="67">
        <f t="shared" si="195"/>
        <v>-11.280777903785449</v>
      </c>
      <c r="AU317" s="64">
        <f t="shared" si="196"/>
        <v>17.179746264560141</v>
      </c>
    </row>
    <row r="318" spans="14:47" x14ac:dyDescent="0.25">
      <c r="N318" s="11">
        <v>100</v>
      </c>
      <c r="O318" s="53">
        <f t="shared" si="197"/>
        <v>10000</v>
      </c>
      <c r="P318" s="51" t="str">
        <f t="shared" si="165"/>
        <v>122.692307692308</v>
      </c>
      <c r="Q318" s="18" t="str">
        <f t="shared" si="166"/>
        <v>1+64.4026493985908i</v>
      </c>
      <c r="R318" s="18">
        <f t="shared" si="174"/>
        <v>64.410412586458477</v>
      </c>
      <c r="S318" s="18">
        <f t="shared" si="175"/>
        <v>1.5552702629580812</v>
      </c>
      <c r="T318" s="18" t="str">
        <f t="shared" si="167"/>
        <v>1+0.0128805298797182i</v>
      </c>
      <c r="U318" s="18">
        <f t="shared" si="176"/>
        <v>1.0000829505845914</v>
      </c>
      <c r="V318" s="18">
        <f t="shared" si="177"/>
        <v>1.2879817622753326E-2</v>
      </c>
      <c r="W318" s="32" t="str">
        <f t="shared" si="168"/>
        <v>1-0.610144027763309i</v>
      </c>
      <c r="X318" s="18">
        <f t="shared" si="178"/>
        <v>1.1714417333419676</v>
      </c>
      <c r="Y318" s="18">
        <f t="shared" si="179"/>
        <v>-0.54784497584776515</v>
      </c>
      <c r="Z318" s="32" t="str">
        <f t="shared" si="169"/>
        <v>0.996734693877551+0.0651097494066218i</v>
      </c>
      <c r="AA318" s="18">
        <f t="shared" si="180"/>
        <v>0.99885901379872832</v>
      </c>
      <c r="AB318" s="18">
        <f t="shared" si="181"/>
        <v>6.5230372974636588E-2</v>
      </c>
      <c r="AC318" s="69" t="str">
        <f t="shared" si="182"/>
        <v>-1.23308463208436-1.86305174462426i</v>
      </c>
      <c r="AD318" s="67">
        <f t="shared" si="183"/>
        <v>6.9822755279281985</v>
      </c>
      <c r="AE318" s="64">
        <f t="shared" si="184"/>
        <v>-123.49909289005222</v>
      </c>
      <c r="AF318" s="32" t="str">
        <f t="shared" si="170"/>
        <v>-0.0000198412698412698</v>
      </c>
      <c r="AG318" s="32" t="str">
        <f t="shared" si="171"/>
        <v>0.00217398211628414i</v>
      </c>
      <c r="AH318" s="32">
        <f t="shared" si="185"/>
        <v>2.17398211628414E-3</v>
      </c>
      <c r="AI318" s="32">
        <f t="shared" si="186"/>
        <v>1.5707963267948966</v>
      </c>
      <c r="AJ318" s="32" t="str">
        <f t="shared" si="172"/>
        <v>1+0.754592395897161i</v>
      </c>
      <c r="AK318" s="32">
        <f t="shared" si="187"/>
        <v>1.2527608247170796</v>
      </c>
      <c r="AL318" s="32">
        <f t="shared" si="188"/>
        <v>0.64643376913155381</v>
      </c>
      <c r="AM318" s="32" t="str">
        <f t="shared" si="173"/>
        <v>1+16.3180605612761i</v>
      </c>
      <c r="AN318" s="32">
        <f t="shared" si="189"/>
        <v>16.348672743726762</v>
      </c>
      <c r="AO318" s="32">
        <f t="shared" si="190"/>
        <v>1.509591075715115</v>
      </c>
      <c r="AP318" s="61" t="str">
        <f t="shared" si="191"/>
        <v>-0.0905072876489046+0.0774228051731931i</v>
      </c>
      <c r="AQ318" s="52">
        <f t="shared" si="192"/>
        <v>-18.481443342321285</v>
      </c>
      <c r="AR318" s="64">
        <f t="shared" si="193"/>
        <v>139.45527072311774</v>
      </c>
      <c r="AS318" s="61" t="str">
        <f t="shared" si="194"/>
        <v>0.255845837743124+0.0731508889235756i</v>
      </c>
      <c r="AT318" s="67">
        <f t="shared" si="195"/>
        <v>-11.499167814393097</v>
      </c>
      <c r="AU318" s="64">
        <f t="shared" si="196"/>
        <v>15.956177833065546</v>
      </c>
    </row>
    <row r="319" spans="14:47" x14ac:dyDescent="0.25">
      <c r="N319" s="11">
        <v>1</v>
      </c>
      <c r="O319" s="53">
        <f>10^(4+(N319/100))</f>
        <v>10232.929922807549</v>
      </c>
      <c r="P319" s="51" t="str">
        <f t="shared" si="165"/>
        <v>122.692307692308</v>
      </c>
      <c r="Q319" s="18" t="str">
        <f t="shared" si="166"/>
        <v>1+65.9027798138923i</v>
      </c>
      <c r="R319" s="18">
        <f t="shared" si="174"/>
        <v>65.910366310606776</v>
      </c>
      <c r="S319" s="18">
        <f t="shared" si="175"/>
        <v>1.5556236244494033</v>
      </c>
      <c r="T319" s="18" t="str">
        <f t="shared" si="167"/>
        <v>1+0.0131805559627785i</v>
      </c>
      <c r="U319" s="18">
        <f t="shared" si="176"/>
        <v>1.0000868597554355</v>
      </c>
      <c r="V319" s="18">
        <f t="shared" si="177"/>
        <v>1.3179792769270301E-2</v>
      </c>
      <c r="W319" s="32" t="str">
        <f t="shared" si="168"/>
        <v>1-0.624356107892148i</v>
      </c>
      <c r="X319" s="18">
        <f t="shared" si="178"/>
        <v>1.1789065058189439</v>
      </c>
      <c r="Y319" s="18">
        <f t="shared" si="179"/>
        <v>-0.55813615780541403</v>
      </c>
      <c r="Z319" s="32" t="str">
        <f t="shared" si="169"/>
        <v>0.996580804741058+0.0666263502969521i</v>
      </c>
      <c r="AA319" s="18">
        <f t="shared" si="180"/>
        <v>0.99880547201756309</v>
      </c>
      <c r="AB319" s="18">
        <f t="shared" si="181"/>
        <v>6.6755602087320662E-2</v>
      </c>
      <c r="AC319" s="69" t="str">
        <f t="shared" si="182"/>
        <v>-1.23443504772096-1.81783641583658i</v>
      </c>
      <c r="AD319" s="67">
        <f t="shared" si="183"/>
        <v>6.8379956440969334</v>
      </c>
      <c r="AE319" s="64">
        <f t="shared" si="184"/>
        <v>-124.17918218561489</v>
      </c>
      <c r="AF319" s="32" t="str">
        <f t="shared" si="170"/>
        <v>-0.0000198412698412698</v>
      </c>
      <c r="AG319" s="32" t="str">
        <f t="shared" si="171"/>
        <v>0.00222462066493724i</v>
      </c>
      <c r="AH319" s="32">
        <f t="shared" si="185"/>
        <v>2.2246206649372399E-3</v>
      </c>
      <c r="AI319" s="32">
        <f t="shared" si="186"/>
        <v>1.5707963267948966</v>
      </c>
      <c r="AJ319" s="32" t="str">
        <f t="shared" si="172"/>
        <v>1+0.772169110749909i</v>
      </c>
      <c r="AK319" s="32">
        <f t="shared" si="187"/>
        <v>1.2634259517661908</v>
      </c>
      <c r="AL319" s="32">
        <f t="shared" si="188"/>
        <v>0.6575390277420653</v>
      </c>
      <c r="AM319" s="32" t="str">
        <f t="shared" si="173"/>
        <v>1+16.6981570199668i</v>
      </c>
      <c r="AN319" s="32">
        <f t="shared" si="189"/>
        <v>16.728073644728688</v>
      </c>
      <c r="AO319" s="32">
        <f t="shared" si="190"/>
        <v>1.5109809180328349</v>
      </c>
      <c r="AP319" s="61" t="str">
        <f t="shared" si="191"/>
        <v>-0.088985714371996+0.0776309651540084i</v>
      </c>
      <c r="AQ319" s="52">
        <f t="shared" si="192"/>
        <v>-18.555807304370138</v>
      </c>
      <c r="AR319" s="64">
        <f t="shared" si="193"/>
        <v>138.89861837332811</v>
      </c>
      <c r="AS319" s="61" t="str">
        <f t="shared" si="194"/>
        <v>0.250967480020776+0.0659310879001343i</v>
      </c>
      <c r="AT319" s="67">
        <f t="shared" si="195"/>
        <v>-11.717811660273192</v>
      </c>
      <c r="AU319" s="64">
        <f t="shared" si="196"/>
        <v>14.719436187713198</v>
      </c>
    </row>
    <row r="320" spans="14:47" x14ac:dyDescent="0.25">
      <c r="N320" s="11">
        <v>2</v>
      </c>
      <c r="O320" s="53">
        <f t="shared" ref="O320:O383" si="198">10^(4+(N320/100))</f>
        <v>10471.285480509003</v>
      </c>
      <c r="P320" s="51" t="str">
        <f t="shared" si="165"/>
        <v>122.692307692308</v>
      </c>
      <c r="Q320" s="18" t="str">
        <f t="shared" si="166"/>
        <v>1+67.4378527553775i</v>
      </c>
      <c r="R320" s="18">
        <f t="shared" si="174"/>
        <v>67.445266581547273</v>
      </c>
      <c r="S320" s="18">
        <f t="shared" si="175"/>
        <v>1.5559689461128086</v>
      </c>
      <c r="T320" s="18" t="str">
        <f t="shared" si="167"/>
        <v>1+0.0134875705510755i</v>
      </c>
      <c r="U320" s="18">
        <f t="shared" si="176"/>
        <v>1.0000909531434479</v>
      </c>
      <c r="V320" s="18">
        <f t="shared" si="177"/>
        <v>1.3486752778514561E-2</v>
      </c>
      <c r="W320" s="32" t="str">
        <f t="shared" si="168"/>
        <v>1-0.638899229893722i</v>
      </c>
      <c r="X320" s="18">
        <f t="shared" si="178"/>
        <v>1.1866727543677706</v>
      </c>
      <c r="Y320" s="18">
        <f t="shared" si="179"/>
        <v>-0.56853189122659398</v>
      </c>
      <c r="Z320" s="32" t="str">
        <f t="shared" si="169"/>
        <v>0.996419663033002+0.0681782773601139i</v>
      </c>
      <c r="AA320" s="18">
        <f t="shared" si="180"/>
        <v>0.99874942922766874</v>
      </c>
      <c r="AB320" s="18">
        <f t="shared" si="181"/>
        <v>6.8316774614185005E-2</v>
      </c>
      <c r="AC320" s="69" t="str">
        <f t="shared" si="182"/>
        <v>-1.23572520097406-1.77358214334535i</v>
      </c>
      <c r="AD320" s="67">
        <f t="shared" si="183"/>
        <v>6.6955957048101622</v>
      </c>
      <c r="AE320" s="64">
        <f t="shared" si="184"/>
        <v>-124.86646039335115</v>
      </c>
      <c r="AF320" s="32" t="str">
        <f t="shared" si="170"/>
        <v>-0.0000198412698412698</v>
      </c>
      <c r="AG320" s="32" t="str">
        <f t="shared" si="171"/>
        <v>0.00227643873691323i</v>
      </c>
      <c r="AH320" s="32">
        <f t="shared" si="185"/>
        <v>2.2764387369132301E-3</v>
      </c>
      <c r="AI320" s="32">
        <f t="shared" si="186"/>
        <v>1.5707963267948966</v>
      </c>
      <c r="AJ320" s="32" t="str">
        <f t="shared" si="172"/>
        <v>1+0.790155239886044i</v>
      </c>
      <c r="AK320" s="32">
        <f t="shared" si="187"/>
        <v>1.2744980592842705</v>
      </c>
      <c r="AL320" s="32">
        <f t="shared" si="188"/>
        <v>0.66870914588726749</v>
      </c>
      <c r="AM320" s="32" t="str">
        <f t="shared" si="173"/>
        <v>1+17.0871070625357i</v>
      </c>
      <c r="AN320" s="32">
        <f t="shared" si="189"/>
        <v>17.116343878485189</v>
      </c>
      <c r="AO320" s="32">
        <f t="shared" si="190"/>
        <v>1.5123393472755247</v>
      </c>
      <c r="AP320" s="61" t="str">
        <f t="shared" si="191"/>
        <v>-0.0874463166366677+0.077812090537833i</v>
      </c>
      <c r="AQ320" s="52">
        <f t="shared" si="192"/>
        <v>-18.632293578619045</v>
      </c>
      <c r="AR320" s="64">
        <f t="shared" si="193"/>
        <v>138.33645000931872</v>
      </c>
      <c r="AS320" s="61" t="str">
        <f t="shared" si="194"/>
        <v>0.24606575151456+0.0589388644700418i</v>
      </c>
      <c r="AT320" s="67">
        <f t="shared" si="195"/>
        <v>-11.936697873808876</v>
      </c>
      <c r="AU320" s="64">
        <f t="shared" si="196"/>
        <v>13.469989615967558</v>
      </c>
    </row>
    <row r="321" spans="14:47" x14ac:dyDescent="0.25">
      <c r="N321" s="11">
        <v>3</v>
      </c>
      <c r="O321" s="53">
        <f t="shared" si="198"/>
        <v>10715.193052376071</v>
      </c>
      <c r="P321" s="51" t="str">
        <f t="shared" si="165"/>
        <v>122.692307692308</v>
      </c>
      <c r="Q321" s="18" t="str">
        <f t="shared" si="166"/>
        <v>1+69.0086821390392i</v>
      </c>
      <c r="R321" s="18">
        <f t="shared" si="174"/>
        <v>69.015927223844116</v>
      </c>
      <c r="S321" s="18">
        <f t="shared" si="175"/>
        <v>1.5563064107127962</v>
      </c>
      <c r="T321" s="18" t="str">
        <f t="shared" si="167"/>
        <v>1+0.0138017364278078i</v>
      </c>
      <c r="U321" s="18">
        <f t="shared" si="176"/>
        <v>1.0000952394289369</v>
      </c>
      <c r="V321" s="18">
        <f t="shared" si="177"/>
        <v>1.3800860173228249E-2</v>
      </c>
      <c r="W321" s="32" t="str">
        <f t="shared" si="168"/>
        <v>1-0.653781104723816i</v>
      </c>
      <c r="X321" s="18">
        <f t="shared" si="178"/>
        <v>1.1947509083042762</v>
      </c>
      <c r="Y321" s="18">
        <f t="shared" si="179"/>
        <v>-0.57902869992019756</v>
      </c>
      <c r="Z321" s="32" t="str">
        <f t="shared" si="169"/>
        <v>0.996250926950214+0.0697663534483781i</v>
      </c>
      <c r="AA321" s="18">
        <f t="shared" si="180"/>
        <v>0.99869076971935833</v>
      </c>
      <c r="AB321" s="18">
        <f t="shared" si="181"/>
        <v>6.9914757570826533E-2</v>
      </c>
      <c r="AC321" s="69" t="str">
        <f t="shared" si="182"/>
        <v>-1.23695781582963-1.73026551778201i</v>
      </c>
      <c r="AD321" s="67">
        <f t="shared" si="183"/>
        <v>6.5551140277056019</v>
      </c>
      <c r="AE321" s="64">
        <f t="shared" si="184"/>
        <v>-125.56077917828375</v>
      </c>
      <c r="AF321" s="32" t="str">
        <f t="shared" si="170"/>
        <v>-0.0000198412698412698</v>
      </c>
      <c r="AG321" s="32" t="str">
        <f t="shared" si="171"/>
        <v>0.00232946380683976i</v>
      </c>
      <c r="AH321" s="32">
        <f t="shared" si="185"/>
        <v>2.3294638068397599E-3</v>
      </c>
      <c r="AI321" s="32">
        <f t="shared" si="186"/>
        <v>1.5707963267948966</v>
      </c>
      <c r="AJ321" s="32" t="str">
        <f t="shared" si="172"/>
        <v>1+0.808560319789307i</v>
      </c>
      <c r="AK321" s="32">
        <f t="shared" si="187"/>
        <v>1.28598980973326</v>
      </c>
      <c r="AL321" s="32">
        <f t="shared" si="188"/>
        <v>0.6799388969607445</v>
      </c>
      <c r="AM321" s="32" t="str">
        <f t="shared" si="173"/>
        <v>1+17.4851169154438i</v>
      </c>
      <c r="AN321" s="32">
        <f t="shared" si="189"/>
        <v>17.513689318551329</v>
      </c>
      <c r="AO321" s="32">
        <f t="shared" si="190"/>
        <v>1.513667063635012</v>
      </c>
      <c r="AP321" s="61" t="str">
        <f t="shared" si="191"/>
        <v>-0.0858904392252155+0.0779651275650471i</v>
      </c>
      <c r="AQ321" s="52">
        <f t="shared" si="192"/>
        <v>-18.710927789640373</v>
      </c>
      <c r="AR321" s="64">
        <f t="shared" si="193"/>
        <v>137.7691052116152</v>
      </c>
      <c r="AS321" s="61" t="str">
        <f t="shared" si="194"/>
        <v>0.241143221919947+0.0521736913948026i</v>
      </c>
      <c r="AT321" s="67">
        <f t="shared" si="195"/>
        <v>-12.155813761934763</v>
      </c>
      <c r="AU321" s="64">
        <f t="shared" si="196"/>
        <v>12.208326033331431</v>
      </c>
    </row>
    <row r="322" spans="14:47" x14ac:dyDescent="0.25">
      <c r="N322" s="11">
        <v>4</v>
      </c>
      <c r="O322" s="53">
        <f t="shared" si="198"/>
        <v>10964.781961431856</v>
      </c>
      <c r="P322" s="51" t="str">
        <f t="shared" si="165"/>
        <v>122.692307692308</v>
      </c>
      <c r="Q322" s="18" t="str">
        <f t="shared" si="166"/>
        <v>1+70.6161008394088i</v>
      </c>
      <c r="R322" s="18">
        <f t="shared" si="174"/>
        <v>70.623181022675226</v>
      </c>
      <c r="S322" s="18">
        <f t="shared" si="175"/>
        <v>1.5566361968699371</v>
      </c>
      <c r="T322" s="18" t="str">
        <f t="shared" si="167"/>
        <v>1+0.0141232201678818i</v>
      </c>
      <c r="U322" s="18">
        <f t="shared" si="176"/>
        <v>1.0000997277011481</v>
      </c>
      <c r="V322" s="18">
        <f t="shared" si="177"/>
        <v>1.4122281249240145E-2</v>
      </c>
      <c r="W322" s="32" t="str">
        <f t="shared" si="168"/>
        <v>1-0.669009622949451i</v>
      </c>
      <c r="X322" s="18">
        <f t="shared" si="178"/>
        <v>1.2031516428110658</v>
      </c>
      <c r="Y322" s="18">
        <f t="shared" si="179"/>
        <v>-0.58962289665805045</v>
      </c>
      <c r="Z322" s="32" t="str">
        <f t="shared" si="169"/>
        <v>0.996074238580841+0.0713914205807075i</v>
      </c>
      <c r="AA322" s="18">
        <f t="shared" si="180"/>
        <v>0.99862937253864781</v>
      </c>
      <c r="AB322" s="18">
        <f t="shared" si="181"/>
        <v>7.1550440300254523E-2</v>
      </c>
      <c r="AC322" s="69" t="str">
        <f t="shared" si="182"/>
        <v>-1.23813549368492-1.68786361393471i</v>
      </c>
      <c r="AD322" s="67">
        <f t="shared" si="183"/>
        <v>6.4165880304126519</v>
      </c>
      <c r="AE322" s="64">
        <f t="shared" si="184"/>
        <v>-126.26197893955646</v>
      </c>
      <c r="AF322" s="32" t="str">
        <f t="shared" si="170"/>
        <v>-0.0000198412698412698</v>
      </c>
      <c r="AG322" s="32" t="str">
        <f t="shared" si="171"/>
        <v>0.00238372398931078i</v>
      </c>
      <c r="AH322" s="32">
        <f t="shared" si="185"/>
        <v>2.3837239893107799E-3</v>
      </c>
      <c r="AI322" s="32">
        <f t="shared" si="186"/>
        <v>1.5707963267948966</v>
      </c>
      <c r="AJ322" s="32" t="str">
        <f t="shared" si="172"/>
        <v>1+0.827394109076683i</v>
      </c>
      <c r="AK322" s="32">
        <f t="shared" si="187"/>
        <v>1.297914100291232</v>
      </c>
      <c r="AL322" s="32">
        <f t="shared" si="188"/>
        <v>0.69122290653192342</v>
      </c>
      <c r="AM322" s="32" t="str">
        <f t="shared" si="173"/>
        <v>1+17.8923976087833i</v>
      </c>
      <c r="AN322" s="32">
        <f t="shared" si="189"/>
        <v>17.920320649776173</v>
      </c>
      <c r="AO322" s="32">
        <f t="shared" si="190"/>
        <v>1.5149647523491792</v>
      </c>
      <c r="AP322" s="61" t="str">
        <f t="shared" si="191"/>
        <v>-0.0843194911461+0.0780890942378409i</v>
      </c>
      <c r="AQ322" s="52">
        <f t="shared" si="192"/>
        <v>-18.791733557688634</v>
      </c>
      <c r="AR322" s="64">
        <f t="shared" si="193"/>
        <v>137.19693117364486</v>
      </c>
      <c r="AS322" s="61" t="str">
        <f t="shared" si="194"/>
        <v>0.236202695606608+0.0456349218054148i</v>
      </c>
      <c r="AT322" s="67">
        <f t="shared" si="195"/>
        <v>-12.375145527275981</v>
      </c>
      <c r="AU322" s="64">
        <f t="shared" si="196"/>
        <v>10.934952234088442</v>
      </c>
    </row>
    <row r="323" spans="14:47" x14ac:dyDescent="0.25">
      <c r="N323" s="11">
        <v>5</v>
      </c>
      <c r="O323" s="53">
        <f t="shared" si="198"/>
        <v>11220.184543019639</v>
      </c>
      <c r="P323" s="51" t="str">
        <f t="shared" si="165"/>
        <v>122.692307692308</v>
      </c>
      <c r="Q323" s="18" t="str">
        <f t="shared" si="166"/>
        <v>1+72.2609611311581i</v>
      </c>
      <c r="R323" s="18">
        <f t="shared" si="174"/>
        <v>72.267880165387041</v>
      </c>
      <c r="S323" s="18">
        <f t="shared" si="175"/>
        <v>1.5569584791541153</v>
      </c>
      <c r="T323" s="18" t="str">
        <f t="shared" si="167"/>
        <v>1+0.0144521922262316i</v>
      </c>
      <c r="U323" s="18">
        <f t="shared" si="176"/>
        <v>1.000104427477523</v>
      </c>
      <c r="V323" s="18">
        <f t="shared" si="177"/>
        <v>1.4451186162454584E-2</v>
      </c>
      <c r="W323" s="32" t="str">
        <f t="shared" si="168"/>
        <v>1-0.684592858932562i</v>
      </c>
      <c r="X323" s="18">
        <f t="shared" si="178"/>
        <v>1.211885878497418</v>
      </c>
      <c r="Y323" s="18">
        <f t="shared" si="179"/>
        <v>-0.60031058601108833</v>
      </c>
      <c r="Z323" s="32" t="str">
        <f t="shared" si="169"/>
        <v>0.995889223145162+0.073054340389206i</v>
      </c>
      <c r="AA323" s="18">
        <f t="shared" si="180"/>
        <v>0.99856511126034042</v>
      </c>
      <c r="AB323" s="18">
        <f t="shared" si="181"/>
        <v>7.3224735145644995E-2</v>
      </c>
      <c r="AC323" s="69" t="str">
        <f t="shared" si="182"/>
        <v>-1.23926071875375-1.64635397879486i</v>
      </c>
      <c r="AD323" s="67">
        <f t="shared" si="183"/>
        <v>6.2800541183590219</v>
      </c>
      <c r="AE323" s="64">
        <f t="shared" si="184"/>
        <v>-126.96988901184078</v>
      </c>
      <c r="AF323" s="32" t="str">
        <f t="shared" si="170"/>
        <v>-0.0000198412698412698</v>
      </c>
      <c r="AG323" s="32" t="str">
        <f t="shared" si="171"/>
        <v>0.00243924805379324i</v>
      </c>
      <c r="AH323" s="32">
        <f t="shared" si="185"/>
        <v>2.43924805379324E-3</v>
      </c>
      <c r="AI323" s="32">
        <f t="shared" si="186"/>
        <v>1.5707963267948966</v>
      </c>
      <c r="AJ323" s="32" t="str">
        <f t="shared" si="172"/>
        <v>1+0.846666593672548i</v>
      </c>
      <c r="AK323" s="32">
        <f t="shared" si="187"/>
        <v>1.3102840611260886</v>
      </c>
      <c r="AL323" s="32">
        <f t="shared" si="188"/>
        <v>0.70255566400608072</v>
      </c>
      <c r="AM323" s="32" t="str">
        <f t="shared" si="173"/>
        <v>1+18.3091650881689i</v>
      </c>
      <c r="AN323" s="32">
        <f t="shared" si="189"/>
        <v>18.336453480044138</v>
      </c>
      <c r="AO323" s="32">
        <f t="shared" si="190"/>
        <v>1.5162330839774423</v>
      </c>
      <c r="AP323" s="61" t="str">
        <f t="shared" si="191"/>
        <v>-0.0827349410657544+0.0781830854442229i</v>
      </c>
      <c r="AQ323" s="52">
        <f t="shared" si="192"/>
        <v>-18.87473241427854</v>
      </c>
      <c r="AR323" s="64">
        <f t="shared" si="193"/>
        <v>136.62028204945287</v>
      </c>
      <c r="AS323" s="61" t="str">
        <f t="shared" si="194"/>
        <v>0.231247196326751+0.0393217727469695i</v>
      </c>
      <c r="AT323" s="67">
        <f t="shared" si="195"/>
        <v>-12.594678295919511</v>
      </c>
      <c r="AU323" s="64">
        <f t="shared" si="196"/>
        <v>9.6503930376120763</v>
      </c>
    </row>
    <row r="324" spans="14:47" x14ac:dyDescent="0.25">
      <c r="N324" s="11">
        <v>6</v>
      </c>
      <c r="O324" s="53">
        <f t="shared" si="198"/>
        <v>11481.536214968832</v>
      </c>
      <c r="P324" s="51" t="str">
        <f t="shared" si="165"/>
        <v>122.692307692308</v>
      </c>
      <c r="Q324" s="18" t="str">
        <f t="shared" si="166"/>
        <v>1+73.9441351409861i</v>
      </c>
      <c r="R324" s="18">
        <f t="shared" si="174"/>
        <v>73.95089669333575</v>
      </c>
      <c r="S324" s="18">
        <f t="shared" si="175"/>
        <v>1.5572734281757166</v>
      </c>
      <c r="T324" s="18" t="str">
        <f t="shared" si="167"/>
        <v>1+0.0147888270281972i</v>
      </c>
      <c r="U324" s="18">
        <f t="shared" si="176"/>
        <v>1.0001093487238633</v>
      </c>
      <c r="V324" s="18">
        <f t="shared" si="177"/>
        <v>1.4787749017803584E-2</v>
      </c>
      <c r="W324" s="32" t="str">
        <f t="shared" si="168"/>
        <v>1-0.700539075111138i</v>
      </c>
      <c r="X324" s="18">
        <f t="shared" si="178"/>
        <v>1.2209647807195623</v>
      </c>
      <c r="Y324" s="18">
        <f t="shared" si="179"/>
        <v>-0.6110876681461106</v>
      </c>
      <c r="Z324" s="32" t="str">
        <f t="shared" si="169"/>
        <v>0.995695488200632+0.0747559945759674i</v>
      </c>
      <c r="AA324" s="18">
        <f t="shared" si="180"/>
        <v>0.99849785375239397</v>
      </c>
      <c r="AB324" s="18">
        <f t="shared" si="181"/>
        <v>7.4938578149707391E-2</v>
      </c>
      <c r="AC324" s="69" t="str">
        <f t="shared" si="182"/>
        <v>-1.24033586321747-1.6057146197936i</v>
      </c>
      <c r="AD324" s="67">
        <f t="shared" si="183"/>
        <v>6.1455475725566497</v>
      </c>
      <c r="AE324" s="64">
        <f t="shared" si="184"/>
        <v>-127.68432792307163</v>
      </c>
      <c r="AF324" s="32" t="str">
        <f t="shared" si="170"/>
        <v>-0.0000198412698412698</v>
      </c>
      <c r="AG324" s="32" t="str">
        <f t="shared" si="171"/>
        <v>0.00249606543988109i</v>
      </c>
      <c r="AH324" s="32">
        <f t="shared" si="185"/>
        <v>2.4960654398810899E-3</v>
      </c>
      <c r="AI324" s="32">
        <f t="shared" si="186"/>
        <v>1.5707963267948966</v>
      </c>
      <c r="AJ324" s="32" t="str">
        <f t="shared" si="172"/>
        <v>1+0.866387992103335i</v>
      </c>
      <c r="AK324" s="32">
        <f t="shared" si="187"/>
        <v>1.3231130536960356</v>
      </c>
      <c r="AL324" s="32">
        <f t="shared" si="188"/>
        <v>0.71393153509588714</v>
      </c>
      <c r="AM324" s="32" t="str">
        <f t="shared" si="173"/>
        <v>1+18.7356403292346i</v>
      </c>
      <c r="AN324" s="32">
        <f t="shared" si="189"/>
        <v>18.76230845462365</v>
      </c>
      <c r="AO324" s="32">
        <f t="shared" si="190"/>
        <v>1.5174727146742062</v>
      </c>
      <c r="AP324" s="61" t="str">
        <f t="shared" si="191"/>
        <v>-0.0811383122519399+0.0782462777272631i</v>
      </c>
      <c r="AQ324" s="52">
        <f t="shared" si="192"/>
        <v>-18.959943724421613</v>
      </c>
      <c r="AR324" s="64">
        <f t="shared" si="193"/>
        <v>136.03951825480144</v>
      </c>
      <c r="AS324" s="61" t="str">
        <f t="shared" si="194"/>
        <v>0.226279950658115+0.0332333097799193i</v>
      </c>
      <c r="AT324" s="67">
        <f t="shared" si="195"/>
        <v>-12.814396151864976</v>
      </c>
      <c r="AU324" s="64">
        <f t="shared" si="196"/>
        <v>8.3551903317297942</v>
      </c>
    </row>
    <row r="325" spans="14:47" x14ac:dyDescent="0.25">
      <c r="N325" s="11">
        <v>7</v>
      </c>
      <c r="O325" s="53">
        <f t="shared" si="198"/>
        <v>11748.975549395318</v>
      </c>
      <c r="P325" s="51" t="str">
        <f t="shared" si="165"/>
        <v>122.692307692308</v>
      </c>
      <c r="Q325" s="18" t="str">
        <f t="shared" si="166"/>
        <v>1+75.6665153100322i</v>
      </c>
      <c r="R325" s="18">
        <f t="shared" si="174"/>
        <v>75.673122964255526</v>
      </c>
      <c r="S325" s="18">
        <f t="shared" si="175"/>
        <v>1.5575812106748124</v>
      </c>
      <c r="T325" s="18" t="str">
        <f t="shared" si="167"/>
        <v>1+0.0151333030620065i</v>
      </c>
      <c r="U325" s="18">
        <f t="shared" si="176"/>
        <v>1.0001145018754436</v>
      </c>
      <c r="V325" s="18">
        <f t="shared" si="177"/>
        <v>1.5132147960200888E-2</v>
      </c>
      <c r="W325" s="32" t="str">
        <f t="shared" si="168"/>
        <v>1-0.71685672638007i</v>
      </c>
      <c r="X325" s="18">
        <f t="shared" si="178"/>
        <v>1.2303997586785973</v>
      </c>
      <c r="Y325" s="18">
        <f t="shared" si="179"/>
        <v>-0.62194984360190098</v>
      </c>
      <c r="Z325" s="32" t="str">
        <f t="shared" si="169"/>
        <v>0.99549262280946+0.0764972853805656i</v>
      </c>
      <c r="AA325" s="18">
        <f t="shared" si="180"/>
        <v>0.99842746193133802</v>
      </c>
      <c r="AB325" s="18">
        <f t="shared" si="181"/>
        <v>7.6692929782068528E-2</v>
      </c>
      <c r="AC325" s="69" t="str">
        <f t="shared" si="182"/>
        <v>-1.24136319213152-1.5659239932225i</v>
      </c>
      <c r="AD325" s="67">
        <f t="shared" si="183"/>
        <v>6.0131024380681994</v>
      </c>
      <c r="AE325" s="64">
        <f t="shared" si="184"/>
        <v>-128.405103709673</v>
      </c>
      <c r="AF325" s="32" t="str">
        <f t="shared" si="170"/>
        <v>-0.0000198412698412698</v>
      </c>
      <c r="AG325" s="32" t="str">
        <f t="shared" si="171"/>
        <v>0.0025542062729045i</v>
      </c>
      <c r="AH325" s="32">
        <f t="shared" si="185"/>
        <v>2.5542062729045001E-3</v>
      </c>
      <c r="AI325" s="32">
        <f t="shared" si="186"/>
        <v>1.5707963267948966</v>
      </c>
      <c r="AJ325" s="32" t="str">
        <f t="shared" si="172"/>
        <v>1+0.886568760915538i</v>
      </c>
      <c r="AK325" s="32">
        <f t="shared" si="187"/>
        <v>1.3364146691170793</v>
      </c>
      <c r="AL325" s="32">
        <f t="shared" si="188"/>
        <v>0.72534477504248185</v>
      </c>
      <c r="AM325" s="32" t="str">
        <f t="shared" si="173"/>
        <v>1+19.1720494547985i</v>
      </c>
      <c r="AN325" s="32">
        <f t="shared" si="189"/>
        <v>19.198111373185633</v>
      </c>
      <c r="AO325" s="32">
        <f t="shared" si="190"/>
        <v>1.5186842864600696</v>
      </c>
      <c r="AP325" s="61" t="str">
        <f t="shared" si="191"/>
        <v>-0.0795311770612153+0.0782779336469536i</v>
      </c>
      <c r="AQ325" s="52">
        <f t="shared" si="192"/>
        <v>-19.047384616189852</v>
      </c>
      <c r="AR325" s="64">
        <f t="shared" si="193"/>
        <v>135.45500572519853</v>
      </c>
      <c r="AS325" s="61" t="str">
        <f t="shared" si="194"/>
        <v>0.221304370268331+0.0273684327839423i</v>
      </c>
      <c r="AT325" s="67">
        <f t="shared" si="195"/>
        <v>-13.034282178121646</v>
      </c>
      <c r="AU325" s="64">
        <f t="shared" si="196"/>
        <v>7.0499020155254941</v>
      </c>
    </row>
    <row r="326" spans="14:47" x14ac:dyDescent="0.25">
      <c r="N326" s="11">
        <v>8</v>
      </c>
      <c r="O326" s="53">
        <f t="shared" si="198"/>
        <v>12022.644346174151</v>
      </c>
      <c r="P326" s="51" t="str">
        <f t="shared" si="165"/>
        <v>122.692307692308</v>
      </c>
      <c r="Q326" s="18" t="str">
        <f t="shared" si="166"/>
        <v>1+77.4290148670603i</v>
      </c>
      <c r="R326" s="18">
        <f t="shared" si="174"/>
        <v>77.435472125398988</v>
      </c>
      <c r="S326" s="18">
        <f t="shared" si="175"/>
        <v>1.5578819896083733</v>
      </c>
      <c r="T326" s="18" t="str">
        <f t="shared" si="167"/>
        <v>1+0.0154858029734121i</v>
      </c>
      <c r="U326" s="18">
        <f t="shared" si="176"/>
        <v>1.0001198978591173</v>
      </c>
      <c r="V326" s="18">
        <f t="shared" si="177"/>
        <v>1.5484565267541651E-2</v>
      </c>
      <c r="W326" s="32" t="str">
        <f t="shared" si="168"/>
        <v>1-0.733554464574046i</v>
      </c>
      <c r="X326" s="18">
        <f t="shared" si="178"/>
        <v>1.2402024643164178</v>
      </c>
      <c r="Y326" s="18">
        <f t="shared" si="179"/>
        <v>-0.63289261905599348</v>
      </c>
      <c r="Z326" s="32" t="str">
        <f t="shared" si="169"/>
        <v>0.995280196666952+0.0782791360584337i</v>
      </c>
      <c r="AA326" s="18">
        <f t="shared" si="180"/>
        <v>0.99835379150853198</v>
      </c>
      <c r="AB326" s="18">
        <f t="shared" si="181"/>
        <v>7.8488775696167593E-2</v>
      </c>
      <c r="AC326" s="69" t="str">
        <f t="shared" si="182"/>
        <v>-1.24234486809699-1.52696099283279i</v>
      </c>
      <c r="AD326" s="67">
        <f t="shared" si="183"/>
        <v>5.8827514138863979</v>
      </c>
      <c r="AE326" s="64">
        <f t="shared" si="184"/>
        <v>-129.13201429000699</v>
      </c>
      <c r="AF326" s="32" t="str">
        <f t="shared" si="170"/>
        <v>-0.0000198412698412698</v>
      </c>
      <c r="AG326" s="32" t="str">
        <f t="shared" si="171"/>
        <v>0.00261370137990272i</v>
      </c>
      <c r="AH326" s="32">
        <f t="shared" si="185"/>
        <v>2.6137013799027199E-3</v>
      </c>
      <c r="AI326" s="32">
        <f t="shared" si="186"/>
        <v>1.5707963267948966</v>
      </c>
      <c r="AJ326" s="32" t="str">
        <f t="shared" si="172"/>
        <v>1+0.9072196002199i</v>
      </c>
      <c r="AK326" s="32">
        <f t="shared" si="187"/>
        <v>1.3502027266389129</v>
      </c>
      <c r="AL326" s="32">
        <f t="shared" si="188"/>
        <v>0.73678954251577755</v>
      </c>
      <c r="AM326" s="32" t="str">
        <f t="shared" si="173"/>
        <v>1+19.6186238547553i</v>
      </c>
      <c r="AN326" s="32">
        <f t="shared" si="189"/>
        <v>19.644093309551693</v>
      </c>
      <c r="AO326" s="32">
        <f t="shared" si="190"/>
        <v>1.5198684274905703</v>
      </c>
      <c r="AP326" s="61" t="str">
        <f t="shared" si="191"/>
        <v>-0.077915151009409+0.0782774056854602i</v>
      </c>
      <c r="AQ326" s="52">
        <f t="shared" si="192"/>
        <v>-19.137069918228875</v>
      </c>
      <c r="AR326" s="64">
        <f t="shared" si="193"/>
        <v>134.86711513486603</v>
      </c>
      <c r="AS326" s="61" t="str">
        <f t="shared" si="194"/>
        <v>0.216324033105387+0.0217258631007663i</v>
      </c>
      <c r="AT326" s="67">
        <f t="shared" si="195"/>
        <v>-13.254318504342464</v>
      </c>
      <c r="AU326" s="64">
        <f t="shared" si="196"/>
        <v>5.7351008448589953</v>
      </c>
    </row>
    <row r="327" spans="14:47" x14ac:dyDescent="0.25">
      <c r="N327" s="11">
        <v>9</v>
      </c>
      <c r="O327" s="53">
        <f t="shared" si="198"/>
        <v>12302.687708123816</v>
      </c>
      <c r="P327" s="51" t="str">
        <f t="shared" si="165"/>
        <v>122.692307692308</v>
      </c>
      <c r="Q327" s="18" t="str">
        <f t="shared" si="166"/>
        <v>1+79.2325683126651i</v>
      </c>
      <c r="R327" s="18">
        <f t="shared" si="174"/>
        <v>79.238878597700634</v>
      </c>
      <c r="S327" s="18">
        <f t="shared" si="175"/>
        <v>1.5581759242355597</v>
      </c>
      <c r="T327" s="18" t="str">
        <f t="shared" si="167"/>
        <v>1+0.015846513662533i</v>
      </c>
      <c r="U327" s="18">
        <f t="shared" si="176"/>
        <v>1.0001255481164637</v>
      </c>
      <c r="V327" s="18">
        <f t="shared" si="177"/>
        <v>1.5845187445790072E-2</v>
      </c>
      <c r="W327" s="32" t="str">
        <f t="shared" si="168"/>
        <v>1-0.750641143054882i</v>
      </c>
      <c r="X327" s="18">
        <f t="shared" si="178"/>
        <v>1.2503847910330403</v>
      </c>
      <c r="Y327" s="18">
        <f t="shared" si="179"/>
        <v>-0.64391131408526214</v>
      </c>
      <c r="Z327" s="32" t="str">
        <f t="shared" si="169"/>
        <v>0.99505775918878+0.0801024913703868i</v>
      </c>
      <c r="AA327" s="18">
        <f t="shared" si="180"/>
        <v>0.99827669172706779</v>
      </c>
      <c r="AB327" s="18">
        <f t="shared" si="181"/>
        <v>8.0327127517251504E-2</v>
      </c>
      <c r="AC327" s="69" t="str">
        <f t="shared" si="182"/>
        <v>-1.2432829557058-1.48880493860745i</v>
      </c>
      <c r="AD327" s="67">
        <f t="shared" si="183"/>
        <v>5.7545257449817813</v>
      </c>
      <c r="AE327" s="64">
        <f t="shared" si="184"/>
        <v>-129.86484789631234</v>
      </c>
      <c r="AF327" s="32" t="str">
        <f t="shared" si="170"/>
        <v>-0.0000198412698412698</v>
      </c>
      <c r="AG327" s="32" t="str">
        <f t="shared" si="171"/>
        <v>0.00267458230596899i</v>
      </c>
      <c r="AH327" s="32">
        <f t="shared" si="185"/>
        <v>2.6745823059689902E-3</v>
      </c>
      <c r="AI327" s="32">
        <f t="shared" si="186"/>
        <v>1.5707963267948966</v>
      </c>
      <c r="AJ327" s="32" t="str">
        <f t="shared" si="172"/>
        <v>1+0.928351459364771i</v>
      </c>
      <c r="AK327" s="32">
        <f t="shared" si="187"/>
        <v>1.3644912722713547</v>
      </c>
      <c r="AL327" s="32">
        <f t="shared" si="188"/>
        <v>0.74825991411611037</v>
      </c>
      <c r="AM327" s="32" t="str">
        <f t="shared" si="173"/>
        <v>1+20.0756003087632i</v>
      </c>
      <c r="AN327" s="32">
        <f t="shared" si="189"/>
        <v>20.10049073423863</v>
      </c>
      <c r="AO327" s="32">
        <f t="shared" si="190"/>
        <v>1.5210257523222939</v>
      </c>
      <c r="AP327" s="61" t="str">
        <f t="shared" si="191"/>
        <v>-0.0762918864700102+0.0782441396508564i</v>
      </c>
      <c r="AQ327" s="52">
        <f t="shared" si="192"/>
        <v>-19.22901210577891</v>
      </c>
      <c r="AR327" s="64">
        <f t="shared" si="193"/>
        <v>134.27622108110367</v>
      </c>
      <c r="AS327" s="61" t="str">
        <f t="shared" si="194"/>
        <v>0.211342663636092+0.016304132140456i</v>
      </c>
      <c r="AT327" s="67">
        <f t="shared" si="195"/>
        <v>-13.474486360797112</v>
      </c>
      <c r="AU327" s="64">
        <f t="shared" si="196"/>
        <v>4.4113731847913522</v>
      </c>
    </row>
    <row r="328" spans="14:47" x14ac:dyDescent="0.25">
      <c r="N328" s="11">
        <v>10</v>
      </c>
      <c r="O328" s="53">
        <f t="shared" si="198"/>
        <v>12589.254117941671</v>
      </c>
      <c r="P328" s="51" t="str">
        <f t="shared" si="165"/>
        <v>122.692307692308</v>
      </c>
      <c r="Q328" s="18" t="str">
        <f t="shared" si="166"/>
        <v>1+81.0781319147562i</v>
      </c>
      <c r="R328" s="18">
        <f t="shared" si="174"/>
        <v>81.084298571219122</v>
      </c>
      <c r="S328" s="18">
        <f t="shared" si="175"/>
        <v>1.5584631702011229</v>
      </c>
      <c r="T328" s="18" t="str">
        <f t="shared" si="167"/>
        <v>1+0.0162156263829513i</v>
      </c>
      <c r="U328" s="18">
        <f t="shared" si="176"/>
        <v>1.0001314646280215</v>
      </c>
      <c r="V328" s="18">
        <f t="shared" si="177"/>
        <v>1.6214205326196746E-2</v>
      </c>
      <c r="W328" s="32" t="str">
        <f t="shared" si="168"/>
        <v>1-0.768125821405675i</v>
      </c>
      <c r="X328" s="18">
        <f t="shared" si="178"/>
        <v>1.260958872251646</v>
      </c>
      <c r="Y328" s="18">
        <f t="shared" si="179"/>
        <v>-0.65500106891491128</v>
      </c>
      <c r="Z328" s="32" t="str">
        <f t="shared" si="169"/>
        <v>0.994824838555229+0.0819683180835464i</v>
      </c>
      <c r="AA328" s="18">
        <f t="shared" si="180"/>
        <v>0.9981960050891221</v>
      </c>
      <c r="AB328" s="18">
        <f t="shared" si="181"/>
        <v>8.2209023663160644E-2</v>
      </c>
      <c r="AC328" s="69" t="str">
        <f t="shared" si="182"/>
        <v>-1.24417942576776-1.45143556569984i</v>
      </c>
      <c r="AD328" s="67">
        <f t="shared" si="183"/>
        <v>5.6284551172892066</v>
      </c>
      <c r="AE328" s="64">
        <f t="shared" si="184"/>
        <v>-130.60338356492565</v>
      </c>
      <c r="AF328" s="32" t="str">
        <f t="shared" si="170"/>
        <v>-0.0000198412698412698</v>
      </c>
      <c r="AG328" s="32" t="str">
        <f t="shared" si="171"/>
        <v>0.00273688133097616i</v>
      </c>
      <c r="AH328" s="32">
        <f t="shared" si="185"/>
        <v>2.7368813309761601E-3</v>
      </c>
      <c r="AI328" s="32">
        <f t="shared" si="186"/>
        <v>1.5707963267948966</v>
      </c>
      <c r="AJ328" s="32" t="str">
        <f t="shared" si="172"/>
        <v>1+0.94997554274158i</v>
      </c>
      <c r="AK328" s="32">
        <f t="shared" si="187"/>
        <v>1.3792945776037691</v>
      </c>
      <c r="AL328" s="32">
        <f t="shared" si="188"/>
        <v>0.75974989939240267</v>
      </c>
      <c r="AM328" s="32" t="str">
        <f t="shared" si="173"/>
        <v>1+20.5432211117867i</v>
      </c>
      <c r="AN328" s="32">
        <f t="shared" si="189"/>
        <v>20.567545639860846</v>
      </c>
      <c r="AO328" s="32">
        <f t="shared" si="190"/>
        <v>1.5221568621761694</v>
      </c>
      <c r="AP328" s="61" t="str">
        <f t="shared" si="191"/>
        <v>-0.0746630660507816+0.0781776775394784i</v>
      </c>
      <c r="AQ328" s="52">
        <f t="shared" si="192"/>
        <v>-19.323221255699039</v>
      </c>
      <c r="AR328" s="64">
        <f t="shared" si="193"/>
        <v>133.68270123889738</v>
      </c>
      <c r="AS328" s="61" t="str">
        <f t="shared" si="194"/>
        <v>0.206364112269734+0.0111015715613754i</v>
      </c>
      <c r="AT328" s="67">
        <f t="shared" si="195"/>
        <v>-13.694766138409843</v>
      </c>
      <c r="AU328" s="64">
        <f t="shared" si="196"/>
        <v>3.0793176739717381</v>
      </c>
    </row>
    <row r="329" spans="14:47" x14ac:dyDescent="0.25">
      <c r="N329" s="11">
        <v>11</v>
      </c>
      <c r="O329" s="53">
        <f t="shared" si="198"/>
        <v>12882.49551693136</v>
      </c>
      <c r="P329" s="51" t="str">
        <f t="shared" si="165"/>
        <v>122.692307692308</v>
      </c>
      <c r="Q329" s="18" t="str">
        <f t="shared" si="166"/>
        <v>1+82.9666842155847i</v>
      </c>
      <c r="R329" s="18">
        <f t="shared" si="174"/>
        <v>82.972710512122916</v>
      </c>
      <c r="S329" s="18">
        <f t="shared" si="175"/>
        <v>1.5587438796169615</v>
      </c>
      <c r="T329" s="18" t="str">
        <f t="shared" si="167"/>
        <v>1+0.016593336843117i</v>
      </c>
      <c r="U329" s="18">
        <f t="shared" si="176"/>
        <v>1.0001376599386651</v>
      </c>
      <c r="V329" s="18">
        <f t="shared" si="177"/>
        <v>1.6591814164689855E-2</v>
      </c>
      <c r="W329" s="32" t="str">
        <f t="shared" si="168"/>
        <v>1-0.786017770234327i</v>
      </c>
      <c r="X329" s="18">
        <f t="shared" si="178"/>
        <v>1.2719370798605343</v>
      </c>
      <c r="Y329" s="18">
        <f t="shared" si="179"/>
        <v>-0.66615685314158402</v>
      </c>
      <c r="Z329" s="32" t="str">
        <f t="shared" si="169"/>
        <v>0.994580940710408+0.0838776054839329i</v>
      </c>
      <c r="AA329" s="18">
        <f t="shared" si="180"/>
        <v>0.99811156707360038</v>
      </c>
      <c r="AB329" s="18">
        <f t="shared" si="181"/>
        <v>8.4135530199704392E-2</v>
      </c>
      <c r="AC329" s="69" t="str">
        <f t="shared" si="182"/>
        <v>-1.24503615932712-1.41483301353276i</v>
      </c>
      <c r="AD329" s="67">
        <f t="shared" si="183"/>
        <v>5.5045675564119554</v>
      </c>
      <c r="AE329" s="64">
        <f t="shared" si="184"/>
        <v>-131.34739168406537</v>
      </c>
      <c r="AF329" s="32" t="str">
        <f t="shared" si="170"/>
        <v>-0.0000198412698412698</v>
      </c>
      <c r="AG329" s="32" t="str">
        <f t="shared" si="171"/>
        <v>0.00280063148669194i</v>
      </c>
      <c r="AH329" s="32">
        <f t="shared" si="185"/>
        <v>2.8006314866919398E-3</v>
      </c>
      <c r="AI329" s="32">
        <f t="shared" si="186"/>
        <v>1.5707963267948966</v>
      </c>
      <c r="AJ329" s="32" t="str">
        <f t="shared" si="172"/>
        <v>1+0.972103315725567i</v>
      </c>
      <c r="AK329" s="32">
        <f t="shared" si="187"/>
        <v>1.3946271388599325</v>
      </c>
      <c r="AL329" s="32">
        <f t="shared" si="188"/>
        <v>0.77125345628609288</v>
      </c>
      <c r="AM329" s="32" t="str">
        <f t="shared" si="173"/>
        <v>1+21.0217342025654i</v>
      </c>
      <c r="AN329" s="32">
        <f t="shared" si="189"/>
        <v>21.045505669460834</v>
      </c>
      <c r="AO329" s="32">
        <f t="shared" si="190"/>
        <v>1.5232623451978149</v>
      </c>
      <c r="AP329" s="61" t="str">
        <f t="shared" si="191"/>
        <v>-0.0730303957037022+0.0780776598228869i</v>
      </c>
      <c r="AQ329" s="52">
        <f t="shared" si="192"/>
        <v>-19.419705010912331</v>
      </c>
      <c r="AR329" s="64">
        <f t="shared" si="193"/>
        <v>133.08693549096407</v>
      </c>
      <c r="AS329" s="61" t="str">
        <f t="shared" si="194"/>
        <v>0.201392334117878+0.00611630511782243i</v>
      </c>
      <c r="AT329" s="67">
        <f t="shared" si="195"/>
        <v>-13.915137454500375</v>
      </c>
      <c r="AU329" s="64">
        <f t="shared" si="196"/>
        <v>1.7395438068986973</v>
      </c>
    </row>
    <row r="330" spans="14:47" x14ac:dyDescent="0.25">
      <c r="N330" s="11">
        <v>12</v>
      </c>
      <c r="O330" s="53">
        <f t="shared" si="198"/>
        <v>13182.567385564091</v>
      </c>
      <c r="P330" s="51" t="str">
        <f t="shared" si="165"/>
        <v>122.692307692308</v>
      </c>
      <c r="Q330" s="18" t="str">
        <f t="shared" si="166"/>
        <v>1+84.8992265505781i</v>
      </c>
      <c r="R330" s="18">
        <f t="shared" si="174"/>
        <v>84.905115681485199</v>
      </c>
      <c r="S330" s="18">
        <f t="shared" si="175"/>
        <v>1.5590182011418674</v>
      </c>
      <c r="T330" s="18" t="str">
        <f t="shared" si="167"/>
        <v>1+0.0169798453101156i</v>
      </c>
      <c r="U330" s="18">
        <f t="shared" si="176"/>
        <v>1.0001441471841723</v>
      </c>
      <c r="V330" s="18">
        <f t="shared" si="177"/>
        <v>1.6978213743485369E-2</v>
      </c>
      <c r="W330" s="32" t="str">
        <f t="shared" si="168"/>
        <v>1-0.80432647608893i</v>
      </c>
      <c r="X330" s="18">
        <f t="shared" si="178"/>
        <v>1.2833320225637777</v>
      </c>
      <c r="Y330" s="18">
        <f t="shared" si="179"/>
        <v>-0.67737347540704973</v>
      </c>
      <c r="Z330" s="32" t="str">
        <f t="shared" si="169"/>
        <v>0.994325548314288+0.0858313659009983i</v>
      </c>
      <c r="AA330" s="18">
        <f t="shared" si="180"/>
        <v>0.99802320584390247</v>
      </c>
      <c r="AB330" s="18">
        <f t="shared" si="181"/>
        <v>8.61077417325435E-2</v>
      </c>
      <c r="AC330" s="69" t="str">
        <f t="shared" si="182"/>
        <v>-1.24585495147575-1.37897781505142i</v>
      </c>
      <c r="AD330" s="67">
        <f t="shared" si="183"/>
        <v>5.3828893308205821</v>
      </c>
      <c r="AE330" s="64">
        <f t="shared" si="184"/>
        <v>-132.09663459794396</v>
      </c>
      <c r="AF330" s="32" t="str">
        <f t="shared" si="170"/>
        <v>-0.0000198412698412698</v>
      </c>
      <c r="AG330" s="32" t="str">
        <f t="shared" si="171"/>
        <v>0.00286586657429269i</v>
      </c>
      <c r="AH330" s="32">
        <f t="shared" si="185"/>
        <v>2.8658665742926901E-3</v>
      </c>
      <c r="AI330" s="32">
        <f t="shared" si="186"/>
        <v>1.5707963267948966</v>
      </c>
      <c r="AJ330" s="32" t="str">
        <f t="shared" si="172"/>
        <v>1+0.994746510754858i</v>
      </c>
      <c r="AK330" s="32">
        <f t="shared" si="187"/>
        <v>1.4105036762302199</v>
      </c>
      <c r="AL330" s="32">
        <f t="shared" si="188"/>
        <v>0.78276450690501276</v>
      </c>
      <c r="AM330" s="32" t="str">
        <f t="shared" si="173"/>
        <v>1+21.5113932950738i</v>
      </c>
      <c r="AN330" s="32">
        <f t="shared" si="189"/>
        <v>21.534624247832742</v>
      </c>
      <c r="AO330" s="32">
        <f t="shared" si="190"/>
        <v>1.5243427767147961</v>
      </c>
      <c r="AP330" s="61" t="str">
        <f t="shared" si="191"/>
        <v>-0.0713955976273387+0.0779438271318473i</v>
      </c>
      <c r="AQ330" s="52">
        <f t="shared" si="192"/>
        <v>-19.518468554610934</v>
      </c>
      <c r="AR330" s="64">
        <f t="shared" si="193"/>
        <v>132.48930503871438</v>
      </c>
      <c r="AS330" s="61" t="str">
        <f t="shared" si="194"/>
        <v>0.196431367252611+0.001346242251256i</v>
      </c>
      <c r="AT330" s="67">
        <f t="shared" si="195"/>
        <v>-14.135579223790335</v>
      </c>
      <c r="AU330" s="64">
        <f t="shared" si="196"/>
        <v>0.39267044077040897</v>
      </c>
    </row>
    <row r="331" spans="14:47" x14ac:dyDescent="0.25">
      <c r="N331" s="11">
        <v>13</v>
      </c>
      <c r="O331" s="53">
        <f t="shared" si="198"/>
        <v>13489.628825916556</v>
      </c>
      <c r="P331" s="51" t="str">
        <f t="shared" si="165"/>
        <v>122.692307692308</v>
      </c>
      <c r="Q331" s="18" t="str">
        <f t="shared" si="166"/>
        <v>1+86.8767835792627i</v>
      </c>
      <c r="R331" s="18">
        <f t="shared" si="174"/>
        <v>86.882538666167264</v>
      </c>
      <c r="S331" s="18">
        <f t="shared" si="175"/>
        <v>1.5592862800595026</v>
      </c>
      <c r="T331" s="18" t="str">
        <f t="shared" si="167"/>
        <v>1+0.0173753567158526i</v>
      </c>
      <c r="U331" s="18">
        <f t="shared" si="176"/>
        <v>1.0001509401190418</v>
      </c>
      <c r="V331" s="18">
        <f t="shared" si="177"/>
        <v>1.7373608474960025E-2</v>
      </c>
      <c r="W331" s="32" t="str">
        <f t="shared" si="168"/>
        <v>1-0.823061646487676i</v>
      </c>
      <c r="X331" s="18">
        <f t="shared" si="178"/>
        <v>1.2951565441748747</v>
      </c>
      <c r="Y331" s="18">
        <f t="shared" si="179"/>
        <v>-0.6886455939897056</v>
      </c>
      <c r="Z331" s="32" t="str">
        <f t="shared" si="169"/>
        <v>0.994058119645355+0.0878306352443769i</v>
      </c>
      <c r="AA331" s="18">
        <f t="shared" si="180"/>
        <v>0.99793074194569709</v>
      </c>
      <c r="AB331" s="18">
        <f t="shared" si="181"/>
        <v>8.8126782337618323E-2</v>
      </c>
      <c r="AC331" s="69" t="str">
        <f t="shared" si="182"/>
        <v>-1.24663751496939-1.34385088612392i</v>
      </c>
      <c r="AD331" s="67">
        <f t="shared" si="183"/>
        <v>5.2634448603136104</v>
      </c>
      <c r="AE331" s="64">
        <f t="shared" si="184"/>
        <v>-132.85086726543886</v>
      </c>
      <c r="AF331" s="32" t="str">
        <f t="shared" si="170"/>
        <v>-0.0000198412698412698</v>
      </c>
      <c r="AG331" s="32" t="str">
        <f t="shared" si="171"/>
        <v>0.00293262118228536i</v>
      </c>
      <c r="AH331" s="32">
        <f t="shared" si="185"/>
        <v>2.9326211822853598E-3</v>
      </c>
      <c r="AI331" s="32">
        <f t="shared" si="186"/>
        <v>1.5707963267948966</v>
      </c>
      <c r="AJ331" s="32" t="str">
        <f t="shared" si="172"/>
        <v>1+1.01791713355118i</v>
      </c>
      <c r="AK331" s="32">
        <f t="shared" si="187"/>
        <v>1.4269391335221875</v>
      </c>
      <c r="AL331" s="32">
        <f t="shared" si="188"/>
        <v>0.79427695352755889</v>
      </c>
      <c r="AM331" s="32" t="str">
        <f t="shared" si="173"/>
        <v>1+22.0124580130442i</v>
      </c>
      <c r="AN331" s="32">
        <f t="shared" si="189"/>
        <v>22.035160715911143</v>
      </c>
      <c r="AO331" s="32">
        <f t="shared" si="190"/>
        <v>1.5253987194906864</v>
      </c>
      <c r="AP331" s="61" t="str">
        <f t="shared" si="191"/>
        <v>-0.0697604030239034+0.077776021316709i</v>
      </c>
      <c r="AQ331" s="52">
        <f t="shared" si="192"/>
        <v>-19.61951459447404</v>
      </c>
      <c r="AR331" s="64">
        <f t="shared" si="193"/>
        <v>131.89019149983869</v>
      </c>
      <c r="AS331" s="61" t="str">
        <f t="shared" si="194"/>
        <v>0.191485310634634-0.00321092651843402i</v>
      </c>
      <c r="AT331" s="67">
        <f t="shared" si="195"/>
        <v>-14.356069734160444</v>
      </c>
      <c r="AU331" s="64">
        <f t="shared" si="196"/>
        <v>-0.96067576560016821</v>
      </c>
    </row>
    <row r="332" spans="14:47" x14ac:dyDescent="0.25">
      <c r="N332" s="11">
        <v>14</v>
      </c>
      <c r="O332" s="53">
        <f t="shared" si="198"/>
        <v>13803.842646028841</v>
      </c>
      <c r="P332" s="51" t="str">
        <f t="shared" si="165"/>
        <v>122.692307692308</v>
      </c>
      <c r="Q332" s="18" t="str">
        <f t="shared" si="166"/>
        <v>1+88.9004038285511i</v>
      </c>
      <c r="R332" s="18">
        <f t="shared" si="174"/>
        <v>88.906027922067608</v>
      </c>
      <c r="S332" s="18">
        <f t="shared" si="175"/>
        <v>1.5595482583546429</v>
      </c>
      <c r="T332" s="18" t="str">
        <f t="shared" si="167"/>
        <v>1+0.0177800807657102i</v>
      </c>
      <c r="U332" s="18">
        <f t="shared" si="176"/>
        <v>1.0001580531456191</v>
      </c>
      <c r="V332" s="18">
        <f t="shared" si="177"/>
        <v>1.7778207507831486E-2</v>
      </c>
      <c r="W332" s="32" t="str">
        <f t="shared" si="168"/>
        <v>1-0.842233215065897i</v>
      </c>
      <c r="X332" s="18">
        <f t="shared" si="178"/>
        <v>1.3074237218898233</v>
      </c>
      <c r="Y332" s="18">
        <f t="shared" si="179"/>
        <v>-0.69996772827175735</v>
      </c>
      <c r="Z332" s="32" t="str">
        <f t="shared" si="169"/>
        <v>0.993778087451549+0.0898764735531377i</v>
      </c>
      <c r="AA332" s="18">
        <f t="shared" si="180"/>
        <v>0.99783398799459944</v>
      </c>
      <c r="AB332" s="18">
        <f t="shared" si="181"/>
        <v>9.0193806532294654E-2</v>
      </c>
      <c r="AC332" s="69" t="str">
        <f t="shared" si="182"/>
        <v>-1.24738548365301-1.30943351508198i</v>
      </c>
      <c r="AD332" s="67">
        <f t="shared" si="183"/>
        <v>5.1462566304854276</v>
      </c>
      <c r="AE332" s="64">
        <f t="shared" si="184"/>
        <v>-133.6098379710443</v>
      </c>
      <c r="AF332" s="32" t="str">
        <f t="shared" si="170"/>
        <v>-0.0000198412698412698</v>
      </c>
      <c r="AG332" s="32" t="str">
        <f t="shared" si="171"/>
        <v>0.0030009307048467i</v>
      </c>
      <c r="AH332" s="32">
        <f t="shared" si="185"/>
        <v>3.0009307048466998E-3</v>
      </c>
      <c r="AI332" s="32">
        <f t="shared" si="186"/>
        <v>1.5707963267948966</v>
      </c>
      <c r="AJ332" s="32" t="str">
        <f t="shared" si="172"/>
        <v>1+1.04162746948543i</v>
      </c>
      <c r="AK332" s="32">
        <f t="shared" si="187"/>
        <v>1.4439486781692139</v>
      </c>
      <c r="AL332" s="32">
        <f t="shared" si="188"/>
        <v>0.80578469473467862</v>
      </c>
      <c r="AM332" s="32" t="str">
        <f t="shared" si="173"/>
        <v>1+22.5251940276224i</v>
      </c>
      <c r="AN332" s="32">
        <f t="shared" si="189"/>
        <v>22.547380468294666</v>
      </c>
      <c r="AO332" s="32">
        <f t="shared" si="190"/>
        <v>1.5264307239758261</v>
      </c>
      <c r="AP332" s="61" t="str">
        <f t="shared" si="191"/>
        <v>-0.0681265447754872+0.0775741858709365i</v>
      </c>
      <c r="AQ332" s="52">
        <f t="shared" si="192"/>
        <v>-19.722843357060913</v>
      </c>
      <c r="AR332" s="64">
        <f t="shared" si="193"/>
        <v>131.28997599837902</v>
      </c>
      <c r="AS332" s="61" t="str">
        <f t="shared" si="194"/>
        <v>0.186558301888983-0.00755773236585051i</v>
      </c>
      <c r="AT332" s="67">
        <f t="shared" si="195"/>
        <v>-14.576586726575478</v>
      </c>
      <c r="AU332" s="64">
        <f t="shared" si="196"/>
        <v>-2.3198619726652541</v>
      </c>
    </row>
    <row r="333" spans="14:47" x14ac:dyDescent="0.25">
      <c r="N333" s="11">
        <v>15</v>
      </c>
      <c r="O333" s="53">
        <f t="shared" si="198"/>
        <v>14125.375446227561</v>
      </c>
      <c r="P333" s="51" t="str">
        <f t="shared" si="165"/>
        <v>122.692307692308</v>
      </c>
      <c r="Q333" s="18" t="str">
        <f t="shared" si="166"/>
        <v>1+90.9711602486856i</v>
      </c>
      <c r="R333" s="18">
        <f t="shared" si="174"/>
        <v>90.976656330028078</v>
      </c>
      <c r="S333" s="18">
        <f t="shared" si="175"/>
        <v>1.559804274787723</v>
      </c>
      <c r="T333" s="18" t="str">
        <f t="shared" si="167"/>
        <v>1+0.0181942320497371i</v>
      </c>
      <c r="U333" s="18">
        <f t="shared" si="176"/>
        <v>1.0001655013445923</v>
      </c>
      <c r="V333" s="18">
        <f t="shared" si="177"/>
        <v>1.8192224835694697E-2</v>
      </c>
      <c r="W333" s="32" t="str">
        <f t="shared" si="168"/>
        <v>1-0.861851346843023i</v>
      </c>
      <c r="X333" s="18">
        <f t="shared" si="178"/>
        <v>1.3201468645780032</v>
      </c>
      <c r="Y333" s="18">
        <f t="shared" si="179"/>
        <v>-0.71133427103088864</v>
      </c>
      <c r="Z333" s="32" t="str">
        <f t="shared" si="169"/>
        <v>0.99348485774704+0.0919699655578325i</v>
      </c>
      <c r="AA333" s="18">
        <f t="shared" si="180"/>
        <v>0.99773274835366865</v>
      </c>
      <c r="AB333" s="18">
        <f t="shared" si="181"/>
        <v>9.2310000289546307E-2</v>
      </c>
      <c r="AC333" s="69" t="str">
        <f t="shared" si="182"/>
        <v>-1.24810041570071-1.27570735239544i</v>
      </c>
      <c r="AD333" s="67">
        <f t="shared" si="183"/>
        <v>5.0313451139201435</v>
      </c>
      <c r="AE333" s="64">
        <f t="shared" si="184"/>
        <v>-134.37328908528966</v>
      </c>
      <c r="AF333" s="32" t="str">
        <f t="shared" si="170"/>
        <v>-0.0000198412698412698</v>
      </c>
      <c r="AG333" s="32" t="str">
        <f t="shared" si="171"/>
        <v>0.00307083136058978i</v>
      </c>
      <c r="AH333" s="32">
        <f t="shared" si="185"/>
        <v>3.0708313605897798E-3</v>
      </c>
      <c r="AI333" s="32">
        <f t="shared" si="186"/>
        <v>1.5707963267948966</v>
      </c>
      <c r="AJ333" s="32" t="str">
        <f t="shared" si="172"/>
        <v>1+1.06589009009158i</v>
      </c>
      <c r="AK333" s="32">
        <f t="shared" si="187"/>
        <v>1.4615477016353031</v>
      </c>
      <c r="AL333" s="32">
        <f t="shared" si="188"/>
        <v>0.81728164156575711</v>
      </c>
      <c r="AM333" s="32" t="str">
        <f t="shared" si="173"/>
        <v>1+23.0498731982304i</v>
      </c>
      <c r="AN333" s="32">
        <f t="shared" si="189"/>
        <v>23.071555093978823</v>
      </c>
      <c r="AO333" s="32">
        <f t="shared" si="190"/>
        <v>1.5274393285546966</v>
      </c>
      <c r="AP333" s="61" t="str">
        <f t="shared" si="191"/>
        <v>-0.0664957501051822+0.0773383657121336i</v>
      </c>
      <c r="AQ333" s="52">
        <f t="shared" si="192"/>
        <v>-19.828452592451516</v>
      </c>
      <c r="AR333" s="64">
        <f t="shared" si="193"/>
        <v>130.68903825323881</v>
      </c>
      <c r="AS333" s="61" t="str">
        <f t="shared" si="194"/>
        <v>0.181654495109825-0.0116969290826967i</v>
      </c>
      <c r="AT333" s="67">
        <f t="shared" si="195"/>
        <v>-14.797107478531355</v>
      </c>
      <c r="AU333" s="64">
        <f t="shared" si="196"/>
        <v>-3.6842508320508771</v>
      </c>
    </row>
    <row r="334" spans="14:47" x14ac:dyDescent="0.25">
      <c r="N334" s="11">
        <v>16</v>
      </c>
      <c r="O334" s="53">
        <f t="shared" si="198"/>
        <v>14454.397707459291</v>
      </c>
      <c r="P334" s="51" t="str">
        <f t="shared" si="165"/>
        <v>122.692307692308</v>
      </c>
      <c r="Q334" s="18" t="str">
        <f t="shared" si="166"/>
        <v>1+93.0901507821295i</v>
      </c>
      <c r="R334" s="18">
        <f t="shared" si="174"/>
        <v>93.095521764688584</v>
      </c>
      <c r="S334" s="18">
        <f t="shared" si="175"/>
        <v>1.5600544649677242</v>
      </c>
      <c r="T334" s="18" t="str">
        <f t="shared" si="167"/>
        <v>1+0.0186180301564259i</v>
      </c>
      <c r="U334" s="18">
        <f t="shared" si="176"/>
        <v>1.00017330050692</v>
      </c>
      <c r="V334" s="18">
        <f t="shared" si="177"/>
        <v>1.861587940795642E-2</v>
      </c>
      <c r="W334" s="32" t="str">
        <f t="shared" si="168"/>
        <v>1-0.881926443612195i</v>
      </c>
      <c r="X334" s="18">
        <f t="shared" si="178"/>
        <v>1.3333395111307751</v>
      </c>
      <c r="Y334" s="18">
        <f t="shared" si="179"/>
        <v>-0.72273950149632238</v>
      </c>
      <c r="Z334" s="32" t="str">
        <f t="shared" si="169"/>
        <v>0.993177808552313+0.0941122212556323i</v>
      </c>
      <c r="AA334" s="18">
        <f t="shared" si="180"/>
        <v>0.99762681880071968</v>
      </c>
      <c r="AB334" s="18">
        <f t="shared" si="181"/>
        <v>9.4476582097633405E-2</v>
      </c>
      <c r="AC334" s="69" t="str">
        <f t="shared" si="182"/>
        <v>-1.24878379667502-1.24265440047281i</v>
      </c>
      <c r="AD334" s="67">
        <f t="shared" si="183"/>
        <v>4.9187286987874907</v>
      </c>
      <c r="AE334" s="64">
        <f t="shared" si="184"/>
        <v>-135.14095787133365</v>
      </c>
      <c r="AF334" s="32" t="str">
        <f t="shared" si="170"/>
        <v>-0.0000198412698412698</v>
      </c>
      <c r="AG334" s="32" t="str">
        <f t="shared" si="171"/>
        <v>0.00314236021176749i</v>
      </c>
      <c r="AH334" s="32">
        <f t="shared" si="185"/>
        <v>3.1423602117674901E-3</v>
      </c>
      <c r="AI334" s="32">
        <f t="shared" si="186"/>
        <v>1.5707963267948966</v>
      </c>
      <c r="AJ334" s="32" t="str">
        <f t="shared" si="172"/>
        <v>1+1.09071785973221i</v>
      </c>
      <c r="AK334" s="32">
        <f t="shared" si="187"/>
        <v>1.4797518202519004</v>
      </c>
      <c r="AL334" s="32">
        <f t="shared" si="188"/>
        <v>0.82876173359406846</v>
      </c>
      <c r="AM334" s="32" t="str">
        <f t="shared" si="173"/>
        <v>1+23.5867737167091i</v>
      </c>
      <c r="AN334" s="32">
        <f t="shared" si="189"/>
        <v>23.607962520370943</v>
      </c>
      <c r="AO334" s="32">
        <f t="shared" si="190"/>
        <v>1.5284250597898292</v>
      </c>
      <c r="AP334" s="61" t="str">
        <f t="shared" si="191"/>
        <v>-0.0648697332890638+0.0770687063226397i</v>
      </c>
      <c r="AQ334" s="52">
        <f t="shared" si="192"/>
        <v>-19.936337589111954</v>
      </c>
      <c r="AR334" s="64">
        <f t="shared" si="193"/>
        <v>130.08775567110212</v>
      </c>
      <c r="AS334" s="61" t="str">
        <f t="shared" si="194"/>
        <v>0.176778038876588-0.0156314921572655i</v>
      </c>
      <c r="AT334" s="67">
        <f t="shared" si="195"/>
        <v>-15.017608890324457</v>
      </c>
      <c r="AU334" s="64">
        <f t="shared" si="196"/>
        <v>-5.0532022002315067</v>
      </c>
    </row>
    <row r="335" spans="14:47" x14ac:dyDescent="0.25">
      <c r="N335" s="11">
        <v>17</v>
      </c>
      <c r="O335" s="53">
        <f t="shared" si="198"/>
        <v>14791.083881682089</v>
      </c>
      <c r="P335" s="51" t="str">
        <f t="shared" si="165"/>
        <v>122.692307692308</v>
      </c>
      <c r="Q335" s="18" t="str">
        <f t="shared" si="166"/>
        <v>1+95.2584989457118i</v>
      </c>
      <c r="R335" s="18">
        <f t="shared" si="174"/>
        <v>95.26374767659614</v>
      </c>
      <c r="S335" s="18">
        <f t="shared" si="175"/>
        <v>1.5602989614234337</v>
      </c>
      <c r="T335" s="18" t="str">
        <f t="shared" si="167"/>
        <v>1+0.0190516997891424i</v>
      </c>
      <c r="U335" s="18">
        <f t="shared" si="176"/>
        <v>1.0001814671672613</v>
      </c>
      <c r="V335" s="18">
        <f t="shared" si="177"/>
        <v>1.904939524321865E-2</v>
      </c>
      <c r="W335" s="32" t="str">
        <f t="shared" si="168"/>
        <v>1-0.902469149455447i</v>
      </c>
      <c r="X335" s="18">
        <f t="shared" si="178"/>
        <v>1.347015428908978</v>
      </c>
      <c r="Y335" s="18">
        <f t="shared" si="179"/>
        <v>-0.73417759910086366</v>
      </c>
      <c r="Z335" s="32" t="str">
        <f t="shared" si="169"/>
        <v>0.992856288574859+0.0963043764988644i</v>
      </c>
      <c r="AA335" s="18">
        <f t="shared" si="180"/>
        <v>0.99751598618542392</v>
      </c>
      <c r="AB335" s="18">
        <f t="shared" si="181"/>
        <v>9.6694804067916029E-2</v>
      </c>
      <c r="AC335" s="69" t="str">
        <f t="shared" si="182"/>
        <v>-1.24943704240996-1.21025700358062i</v>
      </c>
      <c r="AD335" s="67">
        <f t="shared" si="183"/>
        <v>4.8084236254707484</v>
      </c>
      <c r="AE335" s="64">
        <f t="shared" si="184"/>
        <v>-135.91257733395852</v>
      </c>
      <c r="AF335" s="32" t="str">
        <f t="shared" si="170"/>
        <v>-0.0000198412698412698</v>
      </c>
      <c r="AG335" s="32" t="str">
        <f t="shared" si="171"/>
        <v>0.00321555518392354i</v>
      </c>
      <c r="AH335" s="32">
        <f t="shared" si="185"/>
        <v>3.2155551839235402E-3</v>
      </c>
      <c r="AI335" s="32">
        <f t="shared" si="186"/>
        <v>1.5707963267948966</v>
      </c>
      <c r="AJ335" s="32" t="str">
        <f t="shared" si="172"/>
        <v>1+1.11612394241944i</v>
      </c>
      <c r="AK335" s="32">
        <f t="shared" si="187"/>
        <v>1.4985768765204919</v>
      </c>
      <c r="AL335" s="32">
        <f t="shared" si="188"/>
        <v>0.84021895481861775</v>
      </c>
      <c r="AM335" s="32" t="str">
        <f t="shared" si="173"/>
        <v>1+24.1361802548203i</v>
      </c>
      <c r="AN335" s="32">
        <f t="shared" si="189"/>
        <v>24.156887160666571</v>
      </c>
      <c r="AO335" s="32">
        <f t="shared" si="190"/>
        <v>1.5293884326621958</v>
      </c>
      <c r="AP335" s="61" t="str">
        <f t="shared" si="191"/>
        <v>-0.0632501884841941+0.0767654522594508i</v>
      </c>
      <c r="AQ335" s="52">
        <f t="shared" si="192"/>
        <v>-20.046491198871088</v>
      </c>
      <c r="AR335" s="64">
        <f t="shared" si="193"/>
        <v>129.48650244967169</v>
      </c>
      <c r="AS335" s="61" t="str">
        <f t="shared" si="194"/>
        <v>0.171933054661598-0.019364616039521i</v>
      </c>
      <c r="AT335" s="67">
        <f t="shared" si="195"/>
        <v>-15.238067573400343</v>
      </c>
      <c r="AU335" s="64">
        <f t="shared" si="196"/>
        <v>-6.4260748842868356</v>
      </c>
    </row>
    <row r="336" spans="14:47" x14ac:dyDescent="0.25">
      <c r="N336" s="11">
        <v>18</v>
      </c>
      <c r="O336" s="53">
        <f t="shared" si="198"/>
        <v>15135.612484362096</v>
      </c>
      <c r="P336" s="51" t="str">
        <f t="shared" si="165"/>
        <v>122.692307692308</v>
      </c>
      <c r="Q336" s="18" t="str">
        <f t="shared" si="166"/>
        <v>1+97.4773544263305i</v>
      </c>
      <c r="R336" s="18">
        <f t="shared" si="174"/>
        <v>97.482483687873142</v>
      </c>
      <c r="S336" s="18">
        <f t="shared" si="175"/>
        <v>1.5605378936731169</v>
      </c>
      <c r="T336" s="18" t="str">
        <f t="shared" si="167"/>
        <v>1+0.0194954708852661i</v>
      </c>
      <c r="U336" s="18">
        <f t="shared" si="176"/>
        <v>1.0001900186389776</v>
      </c>
      <c r="V336" s="18">
        <f t="shared" si="177"/>
        <v>1.9493001545155826E-2</v>
      </c>
      <c r="W336" s="32" t="str">
        <f t="shared" si="168"/>
        <v>1-0.923490356387331i</v>
      </c>
      <c r="X336" s="18">
        <f t="shared" si="178"/>
        <v>1.3611886123312962</v>
      </c>
      <c r="Y336" s="18">
        <f t="shared" si="179"/>
        <v>-0.74564265785265615</v>
      </c>
      <c r="Z336" s="32" t="str">
        <f t="shared" si="169"/>
        <v>0.992519615827697+0.0985475935972552i</v>
      </c>
      <c r="AA336" s="18">
        <f t="shared" si="180"/>
        <v>0.99740002807628247</v>
      </c>
      <c r="AB336" s="18">
        <f t="shared" si="181"/>
        <v>9.8965953093597125E-2</v>
      </c>
      <c r="AC336" s="69" t="str">
        <f t="shared" si="182"/>
        <v>-1.25006150172144-1.17849783787391i</v>
      </c>
      <c r="AD336" s="67">
        <f t="shared" si="183"/>
        <v>4.700443931797972</v>
      </c>
      <c r="AE336" s="64">
        <f t="shared" si="184"/>
        <v>-136.68787710675272</v>
      </c>
      <c r="AF336" s="32" t="str">
        <f t="shared" si="170"/>
        <v>-0.0000198412698412698</v>
      </c>
      <c r="AG336" s="32" t="str">
        <f t="shared" si="171"/>
        <v>0.00329045508600101i</v>
      </c>
      <c r="AH336" s="32">
        <f t="shared" si="185"/>
        <v>3.29045508600101E-3</v>
      </c>
      <c r="AI336" s="32">
        <f t="shared" si="186"/>
        <v>1.5707963267948966</v>
      </c>
      <c r="AJ336" s="32" t="str">
        <f t="shared" si="172"/>
        <v>1+1.14212180879458i</v>
      </c>
      <c r="AK336" s="32">
        <f t="shared" si="187"/>
        <v>1.5180389409116628</v>
      </c>
      <c r="AL336" s="32">
        <f t="shared" si="188"/>
        <v>0.85164734927113683</v>
      </c>
      <c r="AM336" s="32" t="str">
        <f t="shared" si="173"/>
        <v>1+24.6983841151827i</v>
      </c>
      <c r="AN336" s="32">
        <f t="shared" si="189"/>
        <v>24.71862006466197</v>
      </c>
      <c r="AO336" s="32">
        <f t="shared" si="190"/>
        <v>1.5303299508080157</v>
      </c>
      <c r="AP336" s="61" t="str">
        <f t="shared" si="191"/>
        <v>-0.0616387827360548+0.0764289450507014i</v>
      </c>
      <c r="AQ336" s="52">
        <f t="shared" si="192"/>
        <v>-20.158903871802973</v>
      </c>
      <c r="AR336" s="64">
        <f t="shared" si="193"/>
        <v>128.88564869702205</v>
      </c>
      <c r="AS336" s="61" t="str">
        <f t="shared" si="194"/>
        <v>0.16712361580455-0.022899709641445i</v>
      </c>
      <c r="AT336" s="67">
        <f t="shared" si="195"/>
        <v>-15.458459940004985</v>
      </c>
      <c r="AU336" s="64">
        <f t="shared" si="196"/>
        <v>-7.8022284097306827</v>
      </c>
    </row>
    <row r="337" spans="14:47" x14ac:dyDescent="0.25">
      <c r="N337" s="11">
        <v>19</v>
      </c>
      <c r="O337" s="53">
        <f t="shared" si="198"/>
        <v>15488.166189124853</v>
      </c>
      <c r="P337" s="51" t="str">
        <f t="shared" si="165"/>
        <v>122.692307692308</v>
      </c>
      <c r="Q337" s="18" t="str">
        <f t="shared" si="166"/>
        <v>1+99.7478936905315i</v>
      </c>
      <c r="R337" s="18">
        <f t="shared" si="174"/>
        <v>99.752906201762215</v>
      </c>
      <c r="S337" s="18">
        <f t="shared" si="175"/>
        <v>1.5607713882926297</v>
      </c>
      <c r="T337" s="18" t="str">
        <f t="shared" si="167"/>
        <v>1+0.0199495787381063i</v>
      </c>
      <c r="U337" s="18">
        <f t="shared" si="176"/>
        <v>1.0001989730507765</v>
      </c>
      <c r="V337" s="18">
        <f t="shared" si="177"/>
        <v>1.9946932820934619E-2</v>
      </c>
      <c r="W337" s="32" t="str">
        <f t="shared" si="168"/>
        <v>1-0.945001210130013i</v>
      </c>
      <c r="X337" s="18">
        <f t="shared" si="178"/>
        <v>1.3758732816459476</v>
      </c>
      <c r="Y337" s="18">
        <f t="shared" si="179"/>
        <v>-0.75712870124337484</v>
      </c>
      <c r="Z337" s="32" t="str">
        <f t="shared" si="169"/>
        <v>0.992167076182794+0.100843061934203i</v>
      </c>
      <c r="AA337" s="18">
        <f t="shared" si="180"/>
        <v>0.99727871239758226</v>
      </c>
      <c r="AB337" s="18">
        <f t="shared" si="181"/>
        <v>0.10129135206238843</v>
      </c>
      <c r="AC337" s="69" t="str">
        <f t="shared" si="182"/>
        <v>-1.25065845894839-1.14735990152979i</v>
      </c>
      <c r="AD337" s="67">
        <f t="shared" si="183"/>
        <v>4.5948014073829064</v>
      </c>
      <c r="AE337" s="64">
        <f t="shared" si="184"/>
        <v>-137.46658437288659</v>
      </c>
      <c r="AF337" s="32" t="str">
        <f t="shared" si="170"/>
        <v>-0.0000198412698412698</v>
      </c>
      <c r="AG337" s="32" t="str">
        <f t="shared" si="171"/>
        <v>0.00336709963091941i</v>
      </c>
      <c r="AH337" s="32">
        <f t="shared" si="185"/>
        <v>3.3670996309194102E-3</v>
      </c>
      <c r="AI337" s="32">
        <f t="shared" si="186"/>
        <v>1.5707963267948966</v>
      </c>
      <c r="AJ337" s="32" t="str">
        <f t="shared" si="172"/>
        <v>1+1.16872524327051i</v>
      </c>
      <c r="AK337" s="32">
        <f t="shared" si="187"/>
        <v>1.538154314188831</v>
      </c>
      <c r="AL337" s="32">
        <f t="shared" si="188"/>
        <v>0.86304103624066575</v>
      </c>
      <c r="AM337" s="32" t="str">
        <f t="shared" si="173"/>
        <v>1+25.2736833857248i</v>
      </c>
      <c r="AN337" s="32">
        <f t="shared" si="189"/>
        <v>25.293459073085714</v>
      </c>
      <c r="AO337" s="32">
        <f t="shared" si="190"/>
        <v>1.5312501067519477</v>
      </c>
      <c r="AP337" s="61" t="str">
        <f t="shared" si="191"/>
        <v>-0.0600371492260536+0.0760596205031183i</v>
      </c>
      <c r="AQ337" s="52">
        <f t="shared" si="192"/>
        <v>-20.273563700722875</v>
      </c>
      <c r="AR337" s="64">
        <f t="shared" si="193"/>
        <v>128.28555957265604</v>
      </c>
      <c r="AS337" s="61" t="str">
        <f t="shared" si="194"/>
        <v>0.162353727221562-0.0262403901424951i</v>
      </c>
      <c r="AT337" s="67">
        <f t="shared" si="195"/>
        <v>-15.678762293339954</v>
      </c>
      <c r="AU337" s="64">
        <f t="shared" si="196"/>
        <v>-9.1810248002305013</v>
      </c>
    </row>
    <row r="338" spans="14:47" x14ac:dyDescent="0.25">
      <c r="N338" s="11">
        <v>20</v>
      </c>
      <c r="O338" s="53">
        <f t="shared" si="198"/>
        <v>15848.931924611146</v>
      </c>
      <c r="P338" s="51" t="str">
        <f t="shared" si="165"/>
        <v>122.692307692308</v>
      </c>
      <c r="Q338" s="18" t="str">
        <f t="shared" si="166"/>
        <v>1+102.071320608286i</v>
      </c>
      <c r="R338" s="18">
        <f t="shared" si="174"/>
        <v>102.07621902637025</v>
      </c>
      <c r="S338" s="18">
        <f t="shared" si="175"/>
        <v>1.5609995689820113</v>
      </c>
      <c r="T338" s="18" t="str">
        <f t="shared" si="167"/>
        <v>1+0.0204142641216573i</v>
      </c>
      <c r="U338" s="18">
        <f t="shared" si="176"/>
        <v>1.0002083493850813</v>
      </c>
      <c r="V338" s="18">
        <f t="shared" si="177"/>
        <v>2.0411429002223331E-2</v>
      </c>
      <c r="W338" s="32" t="str">
        <f t="shared" si="168"/>
        <v>1-0.967013116022873i</v>
      </c>
      <c r="X338" s="18">
        <f t="shared" si="178"/>
        <v>1.391083881928141</v>
      </c>
      <c r="Y338" s="18">
        <f t="shared" si="179"/>
        <v>-0.76862969760333566</v>
      </c>
      <c r="Z338" s="32" t="str">
        <f t="shared" si="169"/>
        <v>0.991797921856295+0.103191998597404i</v>
      </c>
      <c r="AA338" s="18">
        <f t="shared" si="180"/>
        <v>0.99715179705649226</v>
      </c>
      <c r="AB338" s="18">
        <f t="shared" si="181"/>
        <v>0.10367236112628543</v>
      </c>
      <c r="AC338" s="69" t="str">
        <f t="shared" si="182"/>
        <v>-1.25122913632697-1.1168265049759i</v>
      </c>
      <c r="AD338" s="67">
        <f t="shared" si="183"/>
        <v>4.4915055575078107</v>
      </c>
      <c r="AE338" s="64">
        <f t="shared" si="184"/>
        <v>-138.24842481453146</v>
      </c>
      <c r="AF338" s="32" t="str">
        <f t="shared" si="170"/>
        <v>-0.0000198412698412698</v>
      </c>
      <c r="AG338" s="32" t="str">
        <f t="shared" si="171"/>
        <v>0.00344552945663094i</v>
      </c>
      <c r="AH338" s="32">
        <f t="shared" si="185"/>
        <v>3.4455294566309398E-3</v>
      </c>
      <c r="AI338" s="32">
        <f t="shared" si="186"/>
        <v>1.5707963267948966</v>
      </c>
      <c r="AJ338" s="32" t="str">
        <f t="shared" si="172"/>
        <v>1+1.19594835134033i</v>
      </c>
      <c r="AK338" s="32">
        <f t="shared" si="187"/>
        <v>1.5589395302812912</v>
      </c>
      <c r="AL338" s="32">
        <f t="shared" si="188"/>
        <v>0.87439422502240693</v>
      </c>
      <c r="AM338" s="32" t="str">
        <f t="shared" si="173"/>
        <v>1+25.8623830977347i</v>
      </c>
      <c r="AN338" s="32">
        <f t="shared" si="189"/>
        <v>25.881708975529293</v>
      </c>
      <c r="AO338" s="32">
        <f t="shared" si="190"/>
        <v>1.5321493821366263</v>
      </c>
      <c r="AP338" s="61" t="str">
        <f t="shared" si="191"/>
        <v>-0.0584468808161477+0.0756580054515473i</v>
      </c>
      <c r="AQ338" s="52">
        <f t="shared" si="192"/>
        <v>-20.390456474920732</v>
      </c>
      <c r="AR338" s="64">
        <f t="shared" si="193"/>
        <v>127.68659445560908</v>
      </c>
      <c r="AS338" s="61" t="str">
        <f t="shared" si="194"/>
        <v>0.157627306006493-0.0293904751887195i</v>
      </c>
      <c r="AT338" s="67">
        <f t="shared" si="195"/>
        <v>-15.898950917412922</v>
      </c>
      <c r="AU338" s="64">
        <f t="shared" si="196"/>
        <v>-10.561830358922375</v>
      </c>
    </row>
    <row r="339" spans="14:47" x14ac:dyDescent="0.25">
      <c r="N339" s="11">
        <v>21</v>
      </c>
      <c r="O339" s="53">
        <f t="shared" si="198"/>
        <v>16218.100973589309</v>
      </c>
      <c r="P339" s="51" t="str">
        <f t="shared" ref="P339:P402" si="199">COMPLEX(Adc,0)</f>
        <v>122.692307692308</v>
      </c>
      <c r="Q339" s="18" t="str">
        <f t="shared" ref="Q339:Q402" si="200">IMSUM(COMPLEX(1,0),IMDIV(COMPLEX(0,2*PI()*O339),COMPLEX(wp_lf,0)))</f>
        <v>1+104.448867091301i</v>
      </c>
      <c r="R339" s="18">
        <f t="shared" si="174"/>
        <v>104.45365401294615</v>
      </c>
      <c r="S339" s="18">
        <f t="shared" si="175"/>
        <v>1.5612225566305842</v>
      </c>
      <c r="T339" s="18" t="str">
        <f t="shared" ref="T339:T402" si="201">IMSUM(COMPLEX(1,0),IMDIV(COMPLEX(0,2*PI()*O339),COMPLEX(wz_esr,0)))</f>
        <v>1+0.0208897734182603i</v>
      </c>
      <c r="U339" s="18">
        <f t="shared" si="176"/>
        <v>1.0002181675182003</v>
      </c>
      <c r="V339" s="18">
        <f t="shared" si="177"/>
        <v>2.0886735568840551E-2</v>
      </c>
      <c r="W339" s="32" t="str">
        <f t="shared" ref="W339:W402" si="202">IMSUB(COMPLEX(1,0),IMDIV(COMPLEX(0,2*PI()*O339),COMPLEX(wz_rhp,0)))</f>
        <v>1-0.989537745069779i</v>
      </c>
      <c r="X339" s="18">
        <f t="shared" si="178"/>
        <v>1.4068350823453981</v>
      </c>
      <c r="Y339" s="18">
        <f t="shared" si="179"/>
        <v>-0.78013957580880589</v>
      </c>
      <c r="Z339" s="32" t="str">
        <f t="shared" ref="Z339:Z402" si="203">IMSUM(COMPLEX(1,0),IMDIV(COMPLEX(0,2*PI()*O339),COMPLEX(Q*(wsl/2),0)),IMDIV(IMPOWER(COMPLEX(0,2*PI()*O339),2),IMPOWER(COMPLEX(wsl/2,0),2)))</f>
        <v>0.991411369822383+0.105595649024169i</v>
      </c>
      <c r="AA339" s="18">
        <f t="shared" si="180"/>
        <v>0.9970190295605843</v>
      </c>
      <c r="AB339" s="18">
        <f t="shared" si="181"/>
        <v>0.10611037903185094</v>
      </c>
      <c r="AC339" s="69" t="str">
        <f t="shared" si="182"/>
        <v>-1.25177469619969-1.08688126120526i</v>
      </c>
      <c r="AD339" s="67">
        <f t="shared" si="183"/>
        <v>4.3905635769007443</v>
      </c>
      <c r="AE339" s="64">
        <f t="shared" si="184"/>
        <v>-139.03312358568562</v>
      </c>
      <c r="AF339" s="32" t="str">
        <f t="shared" ref="AF339:AF402" si="204">COMPLEX(Adc_ea,0)</f>
        <v>-0.0000198412698412698</v>
      </c>
      <c r="AG339" s="32" t="str">
        <f t="shared" ref="AG339:AG402" si="205">COMPLEX(0,2*PI()*O339*wp0_ea)</f>
        <v>0.00352578614766735i</v>
      </c>
      <c r="AH339" s="32">
        <f t="shared" si="185"/>
        <v>3.5257861476673501E-3</v>
      </c>
      <c r="AI339" s="32">
        <f t="shared" si="186"/>
        <v>1.5707963267948966</v>
      </c>
      <c r="AJ339" s="32" t="str">
        <f t="shared" ref="AJ339:AJ402" si="206">IMSUM(COMPLEX(1,0),IMDIV(COMPLEX(0,2*PI()*O339),COMPLEX(wp1_ea,0)))</f>
        <v>1+1.22380556705628i</v>
      </c>
      <c r="AK339" s="32">
        <f t="shared" si="187"/>
        <v>1.5804113597282017</v>
      </c>
      <c r="AL339" s="32">
        <f t="shared" si="188"/>
        <v>0.88570122910325788</v>
      </c>
      <c r="AM339" s="32" t="str">
        <f t="shared" ref="AM339:AM402" si="207">IMSUM(COMPLEX(1,0),IMDIV(COMPLEX(0,2*PI()*O339),COMPLEX(wz_ea,0)))</f>
        <v>1+26.4647953875921i</v>
      </c>
      <c r="AN339" s="32">
        <f t="shared" si="189"/>
        <v>26.483681672062069</v>
      </c>
      <c r="AO339" s="32">
        <f t="shared" si="190"/>
        <v>1.53302824794852</v>
      </c>
      <c r="AP339" s="61" t="str">
        <f t="shared" si="191"/>
        <v>-0.0568695239431733+0.0752247139877709i</v>
      </c>
      <c r="AQ339" s="52">
        <f t="shared" si="192"/>
        <v>-20.509565742679325</v>
      </c>
      <c r="AR339" s="64">
        <f t="shared" si="193"/>
        <v>127.08910614461902</v>
      </c>
      <c r="AS339" s="61" t="str">
        <f t="shared" si="194"/>
        <v>0.15294816306982-0.0323539735912516i</v>
      </c>
      <c r="AT339" s="67">
        <f t="shared" si="195"/>
        <v>-16.119002165778589</v>
      </c>
      <c r="AU339" s="64">
        <f t="shared" si="196"/>
        <v>-11.944017441066627</v>
      </c>
    </row>
    <row r="340" spans="14:47" x14ac:dyDescent="0.25">
      <c r="N340" s="11">
        <v>22</v>
      </c>
      <c r="O340" s="53">
        <f t="shared" si="198"/>
        <v>16595.869074375616</v>
      </c>
      <c r="P340" s="51" t="str">
        <f t="shared" si="199"/>
        <v>122.692307692308</v>
      </c>
      <c r="Q340" s="18" t="str">
        <f t="shared" si="200"/>
        <v>1+106.881793746193i</v>
      </c>
      <c r="R340" s="18">
        <f t="shared" ref="R340:R403" si="208">IMABS(Q340)</f>
        <v>106.88647170902283</v>
      </c>
      <c r="S340" s="18">
        <f t="shared" ref="S340:S403" si="209">IMARGUMENT(Q340)</f>
        <v>1.561440469380599</v>
      </c>
      <c r="T340" s="18" t="str">
        <f t="shared" si="201"/>
        <v>1+0.0213763587492386i</v>
      </c>
      <c r="U340" s="18">
        <f t="shared" ref="U340:U403" si="210">IMABS(T340)</f>
        <v>1.0002284482623838</v>
      </c>
      <c r="V340" s="18">
        <f t="shared" ref="V340:V403" si="211">IMARGUMENT(T340)</f>
        <v>2.1373103675090793E-2</v>
      </c>
      <c r="W340" s="32" t="str">
        <f t="shared" si="202"/>
        <v>1-1.01258704012721i</v>
      </c>
      <c r="X340" s="18">
        <f t="shared" ref="X340:X403" si="212">IMABS(W340)</f>
        <v>1.4231417757319837</v>
      </c>
      <c r="Y340" s="18">
        <f t="shared" ref="Y340:Y403" si="213">IMARGUMENT(W340)</f>
        <v>-0.79165224124259748</v>
      </c>
      <c r="Z340" s="32" t="str">
        <f t="shared" si="203"/>
        <v>0.991006600152365+0.10805528766177i</v>
      </c>
      <c r="AA340" s="18">
        <f t="shared" ref="AA340:AA403" si="214">IMABS(Z340)</f>
        <v>0.99688014662607116</v>
      </c>
      <c r="AB340" s="18">
        <f t="shared" ref="AB340:AB403" si="215">IMARGUMENT(Z340)</f>
        <v>0.10860684451463536</v>
      </c>
      <c r="AC340" s="69" t="str">
        <f t="shared" ref="AC340:AC403" si="216">(IMDIV(IMPRODUCT(P340,T340,W340),IMPRODUCT(Q340,Z340)))</f>
        <v>-1.25229624306103-1.05750807616891i</v>
      </c>
      <c r="AD340" s="67">
        <f t="shared" ref="AD340:AD403" si="217">20*LOG(IMABS(AC340))</f>
        <v>4.2919803336771905</v>
      </c>
      <c r="AE340" s="64">
        <f t="shared" ref="AE340:AE403" si="218">(180/PI())*IMARGUMENT(AC340)</f>
        <v>-139.8204063029518</v>
      </c>
      <c r="AF340" s="32" t="str">
        <f t="shared" si="204"/>
        <v>-0.0000198412698412698</v>
      </c>
      <c r="AG340" s="32" t="str">
        <f t="shared" si="205"/>
        <v>0.00360791225718856i</v>
      </c>
      <c r="AH340" s="32">
        <f t="shared" ref="AH340:AH403" si="219">IMABS(AG340)</f>
        <v>3.60791225718856E-3</v>
      </c>
      <c r="AI340" s="32">
        <f t="shared" ref="AI340:AI403" si="220">IMARGUMENT(AG340)</f>
        <v>1.5707963267948966</v>
      </c>
      <c r="AJ340" s="32" t="str">
        <f t="shared" si="206"/>
        <v>1+1.25231166068287i</v>
      </c>
      <c r="AK340" s="32">
        <f t="shared" ref="AK340:AK403" si="221">IMABS(AJ340)</f>
        <v>1.6025868137115964</v>
      </c>
      <c r="AL340" s="32">
        <f t="shared" ref="AL340:AL403" si="222">IMARGUMENT(AJ340)</f>
        <v>0.89695647970284365</v>
      </c>
      <c r="AM340" s="32" t="str">
        <f t="shared" si="207"/>
        <v>1+27.0812396622671i</v>
      </c>
      <c r="AN340" s="32">
        <f t="shared" ref="AN340:AN403" si="223">IMABS(AM340)</f>
        <v>27.099696338615107</v>
      </c>
      <c r="AO340" s="32">
        <f t="shared" ref="AO340:AO403" si="224">IMARGUMENT(AM340)</f>
        <v>1.5338871647400931</v>
      </c>
      <c r="AP340" s="61" t="str">
        <f t="shared" ref="AP340:AP403" si="225">IMPRODUCT(AF340,IMDIV(AM340,IMPRODUCT(AG340,AJ340)))</f>
        <v>-0.0553065729103298+0.0747604432112709i</v>
      </c>
      <c r="AQ340" s="52">
        <f t="shared" ref="AQ340:AQ403" si="226">20*LOG(IMABS(AP340))</f>
        <v>-20.630872882053328</v>
      </c>
      <c r="AR340" s="64">
        <f t="shared" ref="AR340:AR403" si="227">(180/PI())*IMARGUMENT(AP340)</f>
        <v>126.49344009501065</v>
      </c>
      <c r="AS340" s="61" t="str">
        <f t="shared" ref="AS340:AS403" si="228">IMPRODUCT(AC340,AP340)</f>
        <v>0.148319985946073-0.0351350746451536i</v>
      </c>
      <c r="AT340" s="67">
        <f t="shared" ref="AT340:AT403" si="229">20*LOG(IMABS(AS340))</f>
        <v>-16.338892548376144</v>
      </c>
      <c r="AU340" s="64">
        <f t="shared" ref="AU340:AU403" si="230">(180/PI())*IMARGUMENT(AS340)</f>
        <v>-13.326966207941126</v>
      </c>
    </row>
    <row r="341" spans="14:47" x14ac:dyDescent="0.25">
      <c r="N341" s="11">
        <v>23</v>
      </c>
      <c r="O341" s="53">
        <f t="shared" si="198"/>
        <v>16982.436524617482</v>
      </c>
      <c r="P341" s="51" t="str">
        <f t="shared" si="199"/>
        <v>122.692307692308</v>
      </c>
      <c r="Q341" s="18" t="str">
        <f t="shared" si="200"/>
        <v>1+109.371390542877i</v>
      </c>
      <c r="R341" s="18">
        <f t="shared" si="208"/>
        <v>109.375962026775</v>
      </c>
      <c r="S341" s="18">
        <f t="shared" si="209"/>
        <v>1.5616534226894498</v>
      </c>
      <c r="T341" s="18" t="str">
        <f t="shared" si="201"/>
        <v>1+0.0218742781085754i</v>
      </c>
      <c r="U341" s="18">
        <f t="shared" si="210"/>
        <v>1.0002392134098579</v>
      </c>
      <c r="V341" s="18">
        <f t="shared" si="211"/>
        <v>2.1870790278835817E-2</v>
      </c>
      <c r="W341" s="32" t="str">
        <f t="shared" si="202"/>
        <v>1-1.03617322223649i</v>
      </c>
      <c r="X341" s="18">
        <f t="shared" si="212"/>
        <v>1.4400190785124865</v>
      </c>
      <c r="Y341" s="18">
        <f t="shared" si="213"/>
        <v>-0.8031615919060191</v>
      </c>
      <c r="Z341" s="32" t="str">
        <f t="shared" si="203"/>
        <v>0.990582754275505+0.110572218643171i</v>
      </c>
      <c r="AA341" s="18">
        <f t="shared" si="214"/>
        <v>0.99673487377723424</v>
      </c>
      <c r="AB341" s="18">
        <f t="shared" si="215"/>
        <v>0.11116323776160331</v>
      </c>
      <c r="AC341" s="69" t="str">
        <f t="shared" si="216"/>
        <v>-1.25279482543974-1.02869113923702i</v>
      </c>
      <c r="AD341" s="67">
        <f t="shared" si="217"/>
        <v>4.195758363622252</v>
      </c>
      <c r="AE341" s="64">
        <f t="shared" si="218"/>
        <v>-140.61000004864462</v>
      </c>
      <c r="AF341" s="32" t="str">
        <f t="shared" si="204"/>
        <v>-0.0000198412698412698</v>
      </c>
      <c r="AG341" s="32" t="str">
        <f t="shared" si="205"/>
        <v>0.00369195132954489i</v>
      </c>
      <c r="AH341" s="32">
        <f t="shared" si="219"/>
        <v>3.6919513295448898E-3</v>
      </c>
      <c r="AI341" s="32">
        <f t="shared" si="220"/>
        <v>1.5707963267948966</v>
      </c>
      <c r="AJ341" s="32" t="str">
        <f t="shared" si="206"/>
        <v>1+1.28148174652826i</v>
      </c>
      <c r="AK341" s="32">
        <f t="shared" si="221"/>
        <v>1.6254831486930648</v>
      </c>
      <c r="AL341" s="32">
        <f t="shared" si="222"/>
        <v>0.90815453859618589</v>
      </c>
      <c r="AM341" s="32" t="str">
        <f t="shared" si="207"/>
        <v>1+27.7120427686737i</v>
      </c>
      <c r="AN341" s="32">
        <f t="shared" si="223"/>
        <v>27.730079596221866</v>
      </c>
      <c r="AO341" s="32">
        <f t="shared" si="224"/>
        <v>1.534726582848259</v>
      </c>
      <c r="AP341" s="61" t="str">
        <f t="shared" si="225"/>
        <v>-0.0537594646175318+0.0742659685492399i</v>
      </c>
      <c r="AQ341" s="52">
        <f t="shared" si="226"/>
        <v>-20.754357179322476</v>
      </c>
      <c r="AR341" s="64">
        <f t="shared" si="227"/>
        <v>125.89993369652804</v>
      </c>
      <c r="AS341" s="61" t="str">
        <f t="shared" si="228"/>
        <v>0.143746322884713-0.0377381362025772i</v>
      </c>
      <c r="AT341" s="67">
        <f t="shared" si="229"/>
        <v>-16.558598815700222</v>
      </c>
      <c r="AU341" s="64">
        <f t="shared" si="230"/>
        <v>-14.710066352116582</v>
      </c>
    </row>
    <row r="342" spans="14:47" x14ac:dyDescent="0.25">
      <c r="N342" s="11">
        <v>24</v>
      </c>
      <c r="O342" s="53">
        <f t="shared" si="198"/>
        <v>17378.008287493791</v>
      </c>
      <c r="P342" s="51" t="str">
        <f t="shared" si="199"/>
        <v>122.692307692308</v>
      </c>
      <c r="Q342" s="18" t="str">
        <f t="shared" si="200"/>
        <v>1+111.918977498527i</v>
      </c>
      <c r="R342" s="18">
        <f t="shared" si="208"/>
        <v>111.92344492694902</v>
      </c>
      <c r="S342" s="18">
        <f t="shared" si="209"/>
        <v>1.5618615293904976</v>
      </c>
      <c r="T342" s="18" t="str">
        <f t="shared" si="201"/>
        <v>1+0.0223837954997054i</v>
      </c>
      <c r="U342" s="18">
        <f t="shared" si="210"/>
        <v>1.0002504857789236</v>
      </c>
      <c r="V342" s="18">
        <f t="shared" si="211"/>
        <v>2.2380058273351138E-2</v>
      </c>
      <c r="W342" s="32" t="str">
        <f t="shared" si="202"/>
        <v>1-1.06030879710356i</v>
      </c>
      <c r="X342" s="18">
        <f t="shared" si="212"/>
        <v>1.457482331013038</v>
      </c>
      <c r="Y342" s="18">
        <f t="shared" si="213"/>
        <v>-0.81466153457849333</v>
      </c>
      <c r="Z342" s="32" t="str">
        <f t="shared" si="203"/>
        <v>0.990138933157871+0.113147776478492i</v>
      </c>
      <c r="AA342" s="18">
        <f t="shared" si="214"/>
        <v>0.99658292493752554</v>
      </c>
      <c r="AB342" s="18">
        <f t="shared" si="215"/>
        <v>0.1137810819456917</v>
      </c>
      <c r="AC342" s="69" t="str">
        <f t="shared" si="216"/>
        <v>-1.25327143761785-1.00041491371918i</v>
      </c>
      <c r="AD342" s="67">
        <f t="shared" si="217"/>
        <v>4.1018978749009616</v>
      </c>
      <c r="AE342" s="64">
        <f t="shared" si="218"/>
        <v>-141.40163438052227</v>
      </c>
      <c r="AF342" s="32" t="str">
        <f t="shared" si="204"/>
        <v>-0.0000198412698412698</v>
      </c>
      <c r="AG342" s="32" t="str">
        <f t="shared" si="205"/>
        <v>0.0037779479233649i</v>
      </c>
      <c r="AH342" s="32">
        <f t="shared" si="219"/>
        <v>3.7779479233649E-3</v>
      </c>
      <c r="AI342" s="32">
        <f t="shared" si="220"/>
        <v>1.5707963267948966</v>
      </c>
      <c r="AJ342" s="32" t="str">
        <f t="shared" si="206"/>
        <v>1+1.31133129095806i</v>
      </c>
      <c r="AK342" s="32">
        <f t="shared" si="221"/>
        <v>1.6491178716652524</v>
      </c>
      <c r="AL342" s="32">
        <f t="shared" si="222"/>
        <v>0.91929011015214768</v>
      </c>
      <c r="AM342" s="32" t="str">
        <f t="shared" si="207"/>
        <v>1+28.3575391669682i</v>
      </c>
      <c r="AN342" s="32">
        <f t="shared" si="223"/>
        <v>28.375165684205889</v>
      </c>
      <c r="AO342" s="32">
        <f t="shared" si="224"/>
        <v>1.5355469426091228</v>
      </c>
      <c r="AP342" s="61" t="str">
        <f t="shared" si="225"/>
        <v>-0.0522295737661227+0.0737421386969663i</v>
      </c>
      <c r="AQ342" s="52">
        <f t="shared" si="226"/>
        <v>-20.879995914478226</v>
      </c>
      <c r="AR342" s="64">
        <f t="shared" si="227"/>
        <v>125.30891559588532</v>
      </c>
      <c r="AS342" s="61" t="str">
        <f t="shared" si="228"/>
        <v>0.13923056832203-0.0401676716449367i</v>
      </c>
      <c r="AT342" s="67">
        <f t="shared" si="229"/>
        <v>-16.778098039577234</v>
      </c>
      <c r="AU342" s="64">
        <f t="shared" si="230"/>
        <v>-16.092718784636929</v>
      </c>
    </row>
    <row r="343" spans="14:47" x14ac:dyDescent="0.25">
      <c r="N343" s="11">
        <v>25</v>
      </c>
      <c r="O343" s="53">
        <f t="shared" si="198"/>
        <v>17782.794100389234</v>
      </c>
      <c r="P343" s="51" t="str">
        <f t="shared" si="199"/>
        <v>122.692307692308</v>
      </c>
      <c r="Q343" s="18" t="str">
        <f t="shared" si="200"/>
        <v>1+114.525905377469i</v>
      </c>
      <c r="R343" s="18">
        <f t="shared" si="208"/>
        <v>114.53027111872643</v>
      </c>
      <c r="S343" s="18">
        <f t="shared" si="209"/>
        <v>1.5620648997525264</v>
      </c>
      <c r="T343" s="18" t="str">
        <f t="shared" si="201"/>
        <v>1+0.0229051810754938i</v>
      </c>
      <c r="U343" s="18">
        <f t="shared" si="210"/>
        <v>1.0002622892622222</v>
      </c>
      <c r="V343" s="18">
        <f t="shared" si="211"/>
        <v>2.2901176622017811E-2</v>
      </c>
      <c r="W343" s="32" t="str">
        <f t="shared" si="202"/>
        <v>1-1.0850065617297i</v>
      </c>
      <c r="X343" s="18">
        <f t="shared" si="212"/>
        <v>1.4755470981966332</v>
      </c>
      <c r="Y343" s="18">
        <f t="shared" si="213"/>
        <v>-0.82614600092052703</v>
      </c>
      <c r="Z343" s="32" t="str">
        <f t="shared" si="203"/>
        <v>0.989674195395369+0.115783326762589i</v>
      </c>
      <c r="AA343" s="18">
        <f t="shared" si="214"/>
        <v>0.99642400201304038</v>
      </c>
      <c r="AB343" s="18">
        <f t="shared" si="215"/>
        <v>0.11646194483691856</v>
      </c>
      <c r="AC343" s="69" t="str">
        <f t="shared" si="216"/>
        <v>-1.25372702118555-0.972664127434181i</v>
      </c>
      <c r="AD343" s="67">
        <f t="shared" si="217"/>
        <v>4.0103967631900614</v>
      </c>
      <c r="AE343" s="64">
        <f t="shared" si="218"/>
        <v>-142.19504234241859</v>
      </c>
      <c r="AF343" s="32" t="str">
        <f t="shared" si="204"/>
        <v>-0.0000198412698412698</v>
      </c>
      <c r="AG343" s="32" t="str">
        <f t="shared" si="205"/>
        <v>0.00386594763518093i</v>
      </c>
      <c r="AH343" s="32">
        <f t="shared" si="219"/>
        <v>3.8659476351809302E-3</v>
      </c>
      <c r="AI343" s="32">
        <f t="shared" si="220"/>
        <v>1.5707963267948966</v>
      </c>
      <c r="AJ343" s="32" t="str">
        <f t="shared" si="206"/>
        <v>1+1.34187612059586i</v>
      </c>
      <c r="AK343" s="32">
        <f t="shared" si="221"/>
        <v>1.6735087460259641</v>
      </c>
      <c r="AL343" s="32">
        <f t="shared" si="222"/>
        <v>0.93035805253035142</v>
      </c>
      <c r="AM343" s="32" t="str">
        <f t="shared" si="207"/>
        <v>1+29.0180711078854i</v>
      </c>
      <c r="AN343" s="32">
        <f t="shared" si="223"/>
        <v>29.035296637408297</v>
      </c>
      <c r="AO343" s="32">
        <f t="shared" si="224"/>
        <v>1.536348674569014</v>
      </c>
      <c r="AP343" s="61" t="str">
        <f t="shared" si="225"/>
        <v>-0.0507182085669082+0.0731898702326588i</v>
      </c>
      <c r="AQ343" s="52">
        <f t="shared" si="226"/>
        <v>-21.00776445305652</v>
      </c>
      <c r="AR343" s="64">
        <f t="shared" si="227"/>
        <v>124.72070506732277</v>
      </c>
      <c r="AS343" s="61" t="str">
        <f t="shared" si="228"/>
        <v>0.134775949813327-0.0424283359069917i</v>
      </c>
      <c r="AT343" s="67">
        <f t="shared" si="229"/>
        <v>-16.997367689866479</v>
      </c>
      <c r="AU343" s="64">
        <f t="shared" si="230"/>
        <v>-17.474337275095834</v>
      </c>
    </row>
    <row r="344" spans="14:47" x14ac:dyDescent="0.25">
      <c r="N344" s="11">
        <v>26</v>
      </c>
      <c r="O344" s="53">
        <f t="shared" si="198"/>
        <v>18197.008586099837</v>
      </c>
      <c r="P344" s="51" t="str">
        <f t="shared" si="199"/>
        <v>122.692307692308</v>
      </c>
      <c r="Q344" s="18" t="str">
        <f t="shared" si="200"/>
        <v>1+117.193556407373i</v>
      </c>
      <c r="R344" s="18">
        <f t="shared" si="208"/>
        <v>117.19782277588658</v>
      </c>
      <c r="S344" s="18">
        <f t="shared" si="209"/>
        <v>1.562263641537865</v>
      </c>
      <c r="T344" s="18" t="str">
        <f t="shared" si="201"/>
        <v>1+0.0234387112814746i</v>
      </c>
      <c r="U344" s="18">
        <f t="shared" si="210"/>
        <v>1.0002746488772651</v>
      </c>
      <c r="V344" s="18">
        <f t="shared" si="211"/>
        <v>2.3434420495896349E-2</v>
      </c>
      <c r="W344" s="32" t="str">
        <f t="shared" si="202"/>
        <v>1-1.11027961119664i</v>
      </c>
      <c r="X344" s="18">
        <f t="shared" si="212"/>
        <v>1.4942291708566535</v>
      </c>
      <c r="Y344" s="18">
        <f t="shared" si="213"/>
        <v>-0.83760896341637692</v>
      </c>
      <c r="Z344" s="32" t="str">
        <f t="shared" si="203"/>
        <v>0.989187555216895+0.11848026689911i</v>
      </c>
      <c r="AA344" s="18">
        <f t="shared" si="214"/>
        <v>0.99625779446911333</v>
      </c>
      <c r="AB344" s="18">
        <f t="shared" si="215"/>
        <v>0.11920744049473497</v>
      </c>
      <c r="AC344" s="69" t="str">
        <f t="shared" si="216"/>
        <v>-1.25416246642991-0.945423763319186i</v>
      </c>
      <c r="AD344" s="67">
        <f t="shared" si="217"/>
        <v>3.9212506371290159</v>
      </c>
      <c r="AE344" s="64">
        <f t="shared" si="218"/>
        <v>-142.98996147009998</v>
      </c>
      <c r="AF344" s="32" t="str">
        <f t="shared" si="204"/>
        <v>-0.0000198412698412698</v>
      </c>
      <c r="AG344" s="32" t="str">
        <f t="shared" si="205"/>
        <v>0.00395599712360499i</v>
      </c>
      <c r="AH344" s="32">
        <f t="shared" si="219"/>
        <v>3.9559971236049901E-3</v>
      </c>
      <c r="AI344" s="32">
        <f t="shared" si="220"/>
        <v>1.5707963267948966</v>
      </c>
      <c r="AJ344" s="32" t="str">
        <f t="shared" si="206"/>
        <v>1+1.37313243071463i</v>
      </c>
      <c r="AK344" s="32">
        <f t="shared" si="221"/>
        <v>1.6986737980790392</v>
      </c>
      <c r="AL344" s="32">
        <f t="shared" si="222"/>
        <v>0.94135338798811063</v>
      </c>
      <c r="AM344" s="32" t="str">
        <f t="shared" si="207"/>
        <v>1+29.6939888142038i</v>
      </c>
      <c r="AN344" s="32">
        <f t="shared" si="223"/>
        <v>29.710822467546407</v>
      </c>
      <c r="AO344" s="32">
        <f t="shared" si="224"/>
        <v>1.5371321996918146</v>
      </c>
      <c r="AP344" s="61" t="str">
        <f t="shared" si="225"/>
        <v>-0.04922660697371+0.0726101419627999i</v>
      </c>
      <c r="AQ344" s="52">
        <f t="shared" si="226"/>
        <v>-21.137636343594174</v>
      </c>
      <c r="AR344" s="64">
        <f t="shared" si="227"/>
        <v>124.13561143394163</v>
      </c>
      <c r="AS344" s="61" t="str">
        <f t="shared" si="228"/>
        <v>0.130385516485735-0.0445249107113716i</v>
      </c>
      <c r="AT344" s="67">
        <f t="shared" si="229"/>
        <v>-17.216385706465132</v>
      </c>
      <c r="AU344" s="64">
        <f t="shared" si="230"/>
        <v>-18.85435003615828</v>
      </c>
    </row>
    <row r="345" spans="14:47" x14ac:dyDescent="0.25">
      <c r="N345" s="11">
        <v>27</v>
      </c>
      <c r="O345" s="53">
        <f t="shared" si="198"/>
        <v>18620.871366628675</v>
      </c>
      <c r="P345" s="51" t="str">
        <f t="shared" si="199"/>
        <v>122.692307692308</v>
      </c>
      <c r="Q345" s="18" t="str">
        <f t="shared" si="200"/>
        <v>1+119.923345012124i</v>
      </c>
      <c r="R345" s="18">
        <f t="shared" si="208"/>
        <v>119.92751426964927</v>
      </c>
      <c r="S345" s="18">
        <f t="shared" si="209"/>
        <v>1.5624578600592027</v>
      </c>
      <c r="T345" s="18" t="str">
        <f t="shared" si="201"/>
        <v>1+0.0239846690024248i</v>
      </c>
      <c r="U345" s="18">
        <f t="shared" si="210"/>
        <v>1.0002875908193383</v>
      </c>
      <c r="V345" s="18">
        <f t="shared" si="211"/>
        <v>2.3980071414232501E-2</v>
      </c>
      <c r="W345" s="32" t="str">
        <f t="shared" si="202"/>
        <v>1-1.13614134560973i</v>
      </c>
      <c r="X345" s="18">
        <f t="shared" si="212"/>
        <v>1.5135445673001795</v>
      </c>
      <c r="Y345" s="18">
        <f t="shared" si="213"/>
        <v>-0.84904445105474668</v>
      </c>
      <c r="Z345" s="32" t="str">
        <f t="shared" si="203"/>
        <v>0.988677980393387+0.121240026841413i</v>
      </c>
      <c r="AA345" s="18">
        <f t="shared" si="214"/>
        <v>0.99608397890100253</v>
      </c>
      <c r="AB345" s="18">
        <f t="shared" si="215"/>
        <v>0.12201923104664121</v>
      </c>
      <c r="AC345" s="69" t="str">
        <f t="shared" si="216"/>
        <v>-1.25457861355539-0.918679050067818i</v>
      </c>
      <c r="AD345" s="67">
        <f t="shared" si="217"/>
        <v>3.8344528538993154</v>
      </c>
      <c r="AE345" s="64">
        <f t="shared" si="218"/>
        <v>-143.78613478681959</v>
      </c>
      <c r="AF345" s="32" t="str">
        <f t="shared" si="204"/>
        <v>-0.0000198412698412698</v>
      </c>
      <c r="AG345" s="32" t="str">
        <f t="shared" si="205"/>
        <v>0.00404814413406781i</v>
      </c>
      <c r="AH345" s="32">
        <f t="shared" si="219"/>
        <v>4.0481441340678099E-3</v>
      </c>
      <c r="AI345" s="32">
        <f t="shared" si="220"/>
        <v>1.5707963267948966</v>
      </c>
      <c r="AJ345" s="32" t="str">
        <f t="shared" si="206"/>
        <v>1+1.40511679382371i</v>
      </c>
      <c r="AK345" s="32">
        <f t="shared" si="221"/>
        <v>1.724631324163348</v>
      </c>
      <c r="AL345" s="32">
        <f t="shared" si="222"/>
        <v>0.95227131225829664</v>
      </c>
      <c r="AM345" s="32" t="str">
        <f t="shared" si="207"/>
        <v>1+30.3856506664378i</v>
      </c>
      <c r="AN345" s="32">
        <f t="shared" si="223"/>
        <v>30.402101348801402</v>
      </c>
      <c r="AO345" s="32">
        <f t="shared" si="224"/>
        <v>1.5378979295625947</v>
      </c>
      <c r="AP345" s="61" t="str">
        <f t="shared" si="225"/>
        <v>-0.0477559334578039+0.0720039890552421i</v>
      </c>
      <c r="AQ345" s="52">
        <f t="shared" si="226"/>
        <v>-21.269583419960369</v>
      </c>
      <c r="AR345" s="64">
        <f t="shared" si="227"/>
        <v>123.55393354205934</v>
      </c>
      <c r="AS345" s="61" t="str">
        <f t="shared" si="228"/>
        <v>0.126062129052898-0.0464622891752659i</v>
      </c>
      <c r="AT345" s="67">
        <f t="shared" si="229"/>
        <v>-17.43513056606108</v>
      </c>
      <c r="AU345" s="64">
        <f t="shared" si="230"/>
        <v>-20.232201244760304</v>
      </c>
    </row>
    <row r="346" spans="14:47" x14ac:dyDescent="0.25">
      <c r="N346" s="11">
        <v>28</v>
      </c>
      <c r="O346" s="53">
        <f t="shared" si="198"/>
        <v>19054.607179632505</v>
      </c>
      <c r="P346" s="51" t="str">
        <f t="shared" si="199"/>
        <v>122.692307692308</v>
      </c>
      <c r="Q346" s="18" t="str">
        <f t="shared" si="200"/>
        <v>1+122.716718561775i</v>
      </c>
      <c r="R346" s="18">
        <f t="shared" si="208"/>
        <v>122.72079291859995</v>
      </c>
      <c r="S346" s="18">
        <f t="shared" si="209"/>
        <v>1.5626476582351285</v>
      </c>
      <c r="T346" s="18" t="str">
        <f t="shared" si="201"/>
        <v>1+0.024543343712355i</v>
      </c>
      <c r="U346" s="18">
        <f t="shared" si="210"/>
        <v>1.0003011425168837</v>
      </c>
      <c r="V346" s="18">
        <f t="shared" si="211"/>
        <v>2.4538417387946647E-2</v>
      </c>
      <c r="W346" s="32" t="str">
        <f t="shared" si="202"/>
        <v>1-1.16260547720287i</v>
      </c>
      <c r="X346" s="18">
        <f t="shared" si="212"/>
        <v>1.5335095355497836</v>
      </c>
      <c r="Y346" s="18">
        <f t="shared" si="213"/>
        <v>-0.86044656464893654</v>
      </c>
      <c r="Z346" s="32" t="str">
        <f t="shared" si="203"/>
        <v>0.988144390048323+0.124064069850749i</v>
      </c>
      <c r="AA346" s="18">
        <f t="shared" si="214"/>
        <v>0.99590221859974992</v>
      </c>
      <c r="AB346" s="18">
        <f t="shared" si="215"/>
        <v>0.12489902855844053</v>
      </c>
      <c r="AC346" s="69" t="str">
        <f t="shared" si="216"/>
        <v>-1.25497625373196-0.892415452786247i</v>
      </c>
      <c r="AD346" s="67">
        <f t="shared" si="217"/>
        <v>3.7499945646460819</v>
      </c>
      <c r="AE346" s="64">
        <f t="shared" si="218"/>
        <v>-144.58331178321171</v>
      </c>
      <c r="AF346" s="32" t="str">
        <f t="shared" si="204"/>
        <v>-0.0000198412698412698</v>
      </c>
      <c r="AG346" s="32" t="str">
        <f t="shared" si="205"/>
        <v>0.00414243752413404i</v>
      </c>
      <c r="AH346" s="32">
        <f t="shared" si="219"/>
        <v>4.1424375241340397E-3</v>
      </c>
      <c r="AI346" s="32">
        <f t="shared" si="220"/>
        <v>1.5707963267948966</v>
      </c>
      <c r="AJ346" s="32" t="str">
        <f t="shared" si="206"/>
        <v>1+1.43784616845582i</v>
      </c>
      <c r="AK346" s="32">
        <f t="shared" si="221"/>
        <v>1.7513998984078654</v>
      </c>
      <c r="AL346" s="32">
        <f t="shared" si="222"/>
        <v>0.96310720296821495</v>
      </c>
      <c r="AM346" s="32" t="str">
        <f t="shared" si="207"/>
        <v>1+31.0934233928571i</v>
      </c>
      <c r="AN346" s="32">
        <f t="shared" si="223"/>
        <v>31.109499807735148</v>
      </c>
      <c r="AO346" s="32">
        <f t="shared" si="224"/>
        <v>1.5386462665875773</v>
      </c>
      <c r="AP346" s="61" t="str">
        <f t="shared" si="225"/>
        <v>-0.0463072763318656+0.0713724970175153i</v>
      </c>
      <c r="AQ346" s="52">
        <f t="shared" si="226"/>
        <v>-21.403575907795123</v>
      </c>
      <c r="AR346" s="64">
        <f t="shared" si="227"/>
        <v>122.97595929030086</v>
      </c>
      <c r="AS346" s="61" t="str">
        <f t="shared" si="228"/>
        <v>0.121808451413866-0.0482454599515371i</v>
      </c>
      <c r="AT346" s="67">
        <f t="shared" si="229"/>
        <v>-17.653581343149064</v>
      </c>
      <c r="AU346" s="64">
        <f t="shared" si="230"/>
        <v>-21.607352492910888</v>
      </c>
    </row>
    <row r="347" spans="14:47" x14ac:dyDescent="0.25">
      <c r="N347" s="11">
        <v>29</v>
      </c>
      <c r="O347" s="53">
        <f t="shared" si="198"/>
        <v>19498.445997580486</v>
      </c>
      <c r="P347" s="51" t="str">
        <f t="shared" si="199"/>
        <v>122.692307692308</v>
      </c>
      <c r="Q347" s="18" t="str">
        <f t="shared" si="200"/>
        <v>1+125.575158139953i</v>
      </c>
      <c r="R347" s="18">
        <f t="shared" si="208"/>
        <v>125.57913975606857</v>
      </c>
      <c r="S347" s="18">
        <f t="shared" si="209"/>
        <v>1.5628331366444181</v>
      </c>
      <c r="T347" s="18" t="str">
        <f t="shared" si="201"/>
        <v>1+0.0251150316279906i</v>
      </c>
      <c r="U347" s="18">
        <f t="shared" si="210"/>
        <v>1.0003153326894849</v>
      </c>
      <c r="V347" s="18">
        <f t="shared" si="211"/>
        <v>2.5109753066150192E-2</v>
      </c>
      <c r="W347" s="32" t="str">
        <f t="shared" si="202"/>
        <v>1-1.18968603760891i</v>
      </c>
      <c r="X347" s="18">
        <f t="shared" si="212"/>
        <v>1.5541405560893096</v>
      </c>
      <c r="Y347" s="18">
        <f t="shared" si="213"/>
        <v>-0.87180949170209598</v>
      </c>
      <c r="Z347" s="32" t="str">
        <f t="shared" si="203"/>
        <v>0.987585652365043+0.126953893272101i</v>
      </c>
      <c r="AA347" s="18">
        <f t="shared" si="214"/>
        <v>0.9957121631145377</v>
      </c>
      <c r="AB347" s="18">
        <f t="shared" si="215"/>
        <v>0.12784859700184018</v>
      </c>
      <c r="AC347" s="69" t="str">
        <f t="shared" si="216"/>
        <v>-1.25535612996705-0.866618663656151i</v>
      </c>
      <c r="AD347" s="67">
        <f t="shared" si="217"/>
        <v>3.6678647693770912</v>
      </c>
      <c r="AE347" s="64">
        <f t="shared" si="218"/>
        <v>-145.38124937646137</v>
      </c>
      <c r="AF347" s="32" t="str">
        <f t="shared" si="204"/>
        <v>-0.0000198412698412698</v>
      </c>
      <c r="AG347" s="32" t="str">
        <f t="shared" si="205"/>
        <v>0.0042389272894072i</v>
      </c>
      <c r="AH347" s="32">
        <f t="shared" si="219"/>
        <v>4.2389272894071996E-3</v>
      </c>
      <c r="AI347" s="32">
        <f t="shared" si="220"/>
        <v>1.5707963267948966</v>
      </c>
      <c r="AJ347" s="32" t="str">
        <f t="shared" si="206"/>
        <v>1+1.47133790815856i</v>
      </c>
      <c r="AK347" s="32">
        <f t="shared" si="221"/>
        <v>1.7789983811078658</v>
      </c>
      <c r="AL347" s="32">
        <f t="shared" si="222"/>
        <v>0.97385662707883969</v>
      </c>
      <c r="AM347" s="32" t="str">
        <f t="shared" si="207"/>
        <v>1+31.8176822639289i</v>
      </c>
      <c r="AN347" s="32">
        <f t="shared" si="223"/>
        <v>31.83339291763188</v>
      </c>
      <c r="AO347" s="32">
        <f t="shared" si="224"/>
        <v>1.5393776041904408</v>
      </c>
      <c r="AP347" s="61" t="str">
        <f t="shared" si="225"/>
        <v>-0.0448816456254324+0.0707167955771707i</v>
      </c>
      <c r="AQ347" s="52">
        <f t="shared" si="226"/>
        <v>-21.5395825342828</v>
      </c>
      <c r="AR347" s="64">
        <f t="shared" si="227"/>
        <v>122.40196521460921</v>
      </c>
      <c r="AS347" s="61" t="str">
        <f t="shared" si="228"/>
        <v>0.117626943840028-0.0498794910648268i</v>
      </c>
      <c r="AT347" s="67">
        <f t="shared" si="229"/>
        <v>-17.871717764905725</v>
      </c>
      <c r="AU347" s="64">
        <f t="shared" si="230"/>
        <v>-22.979284161852178</v>
      </c>
    </row>
    <row r="348" spans="14:47" x14ac:dyDescent="0.25">
      <c r="N348" s="11">
        <v>30</v>
      </c>
      <c r="O348" s="53">
        <f t="shared" si="198"/>
        <v>19952.623149688792</v>
      </c>
      <c r="P348" s="51" t="str">
        <f t="shared" si="199"/>
        <v>122.692307692308</v>
      </c>
      <c r="Q348" s="18" t="str">
        <f t="shared" si="200"/>
        <v>1+128.500179329161i</v>
      </c>
      <c r="R348" s="18">
        <f t="shared" si="208"/>
        <v>128.50407031540493</v>
      </c>
      <c r="S348" s="18">
        <f t="shared" si="209"/>
        <v>1.5630143935791034</v>
      </c>
      <c r="T348" s="18" t="str">
        <f t="shared" si="201"/>
        <v>1+0.0257000358658323i</v>
      </c>
      <c r="U348" s="18">
        <f t="shared" si="210"/>
        <v>1.0003301914085694</v>
      </c>
      <c r="V348" s="18">
        <f t="shared" si="211"/>
        <v>2.5694379885744668E-2</v>
      </c>
      <c r="W348" s="32" t="str">
        <f t="shared" si="202"/>
        <v>1-1.21739738529946i</v>
      </c>
      <c r="X348" s="18">
        <f t="shared" si="212"/>
        <v>1.5754543451760072</v>
      </c>
      <c r="Y348" s="18">
        <f t="shared" si="213"/>
        <v>-0.88312752072861178</v>
      </c>
      <c r="Z348" s="32" t="str">
        <f t="shared" si="203"/>
        <v>0.987000582186008+0.1299110293281i</v>
      </c>
      <c r="AA348" s="18">
        <f t="shared" si="214"/>
        <v>0.99551344781303941</v>
      </c>
      <c r="AB348" s="18">
        <f t="shared" si="215"/>
        <v>0.13086975432552225</v>
      </c>
      <c r="AC348" s="69" t="str">
        <f t="shared" si="216"/>
        <v>-1.25571893779526-0.841274592592658i</v>
      </c>
      <c r="AD348" s="67">
        <f t="shared" si="217"/>
        <v>3.5880503808874389</v>
      </c>
      <c r="AE348" s="64">
        <f t="shared" si="218"/>
        <v>-146.17971284399141</v>
      </c>
      <c r="AF348" s="32" t="str">
        <f t="shared" si="204"/>
        <v>-0.0000198412698412698</v>
      </c>
      <c r="AG348" s="32" t="str">
        <f t="shared" si="205"/>
        <v>0.00433766459003803i</v>
      </c>
      <c r="AH348" s="32">
        <f t="shared" si="219"/>
        <v>4.3376645900380303E-3</v>
      </c>
      <c r="AI348" s="32">
        <f t="shared" si="220"/>
        <v>1.5707963267948966</v>
      </c>
      <c r="AJ348" s="32" t="str">
        <f t="shared" si="206"/>
        <v>1+1.50560977069568i</v>
      </c>
      <c r="AK348" s="32">
        <f t="shared" si="221"/>
        <v>1.8074459277152106</v>
      </c>
      <c r="AL348" s="32">
        <f t="shared" si="222"/>
        <v>0.98451534733309121</v>
      </c>
      <c r="AM348" s="32" t="str">
        <f t="shared" si="207"/>
        <v>1+32.5588112912942i</v>
      </c>
      <c r="AN348" s="32">
        <f t="shared" si="223"/>
        <v>32.574164497375932</v>
      </c>
      <c r="AO348" s="32">
        <f t="shared" si="224"/>
        <v>1.540092327005</v>
      </c>
      <c r="AP348" s="61" t="str">
        <f t="shared" si="225"/>
        <v>-0.0434799715075926+0.0700380525196163i</v>
      </c>
      <c r="AQ348" s="52">
        <f t="shared" si="226"/>
        <v>-21.677570640487097</v>
      </c>
      <c r="AR348" s="64">
        <f t="shared" si="227"/>
        <v>121.83221612982592</v>
      </c>
      <c r="AS348" s="61" t="str">
        <f t="shared" si="228"/>
        <v>0.113519857736306-0.0513695135991909i</v>
      </c>
      <c r="AT348" s="67">
        <f t="shared" si="229"/>
        <v>-18.089520259599642</v>
      </c>
      <c r="AU348" s="64">
        <f t="shared" si="230"/>
        <v>-24.347496714165416</v>
      </c>
    </row>
    <row r="349" spans="14:47" x14ac:dyDescent="0.25">
      <c r="N349" s="11">
        <v>31</v>
      </c>
      <c r="O349" s="53">
        <f t="shared" si="198"/>
        <v>20417.379446695286</v>
      </c>
      <c r="P349" s="51" t="str">
        <f t="shared" si="199"/>
        <v>122.692307692308</v>
      </c>
      <c r="Q349" s="18" t="str">
        <f t="shared" si="200"/>
        <v>1+131.493333014351i</v>
      </c>
      <c r="R349" s="18">
        <f t="shared" si="208"/>
        <v>131.49713543352576</v>
      </c>
      <c r="S349" s="18">
        <f t="shared" si="209"/>
        <v>1.5631915250963426</v>
      </c>
      <c r="T349" s="18" t="str">
        <f t="shared" si="201"/>
        <v>1+0.0262986666028702i</v>
      </c>
      <c r="U349" s="18">
        <f t="shared" si="210"/>
        <v>1.0003457501609576</v>
      </c>
      <c r="V349" s="18">
        <f t="shared" si="211"/>
        <v>2.6292606224142513E-2</v>
      </c>
      <c r="W349" s="32" t="str">
        <f t="shared" si="202"/>
        <v>1-1.24575421319784i</v>
      </c>
      <c r="X349" s="18">
        <f t="shared" si="212"/>
        <v>1.5974678587377493</v>
      </c>
      <c r="Y349" s="18">
        <f t="shared" si="213"/>
        <v>-0.89439505494882232</v>
      </c>
      <c r="Z349" s="32" t="str">
        <f t="shared" si="203"/>
        <v>0.986387938498928+0.132937045931424i</v>
      </c>
      <c r="AA349" s="18">
        <f t="shared" si="214"/>
        <v>0.99530569344153685</v>
      </c>
      <c r="AB349" s="18">
        <f t="shared" si="215"/>
        <v>0.1339643746361904</v>
      </c>
      <c r="AC349" s="69" t="str">
        <f t="shared" si="216"/>
        <v>-1.25606532577936-0.816369357885362i</v>
      </c>
      <c r="AD349" s="67">
        <f t="shared" si="217"/>
        <v>3.5105362971886538</v>
      </c>
      <c r="AE349" s="64">
        <f t="shared" si="218"/>
        <v>-146.97847672729841</v>
      </c>
      <c r="AF349" s="32" t="str">
        <f t="shared" si="204"/>
        <v>-0.0000198412698412698</v>
      </c>
      <c r="AG349" s="32" t="str">
        <f t="shared" si="205"/>
        <v>0.00443870177785029i</v>
      </c>
      <c r="AH349" s="32">
        <f t="shared" si="219"/>
        <v>4.43870177785029E-3</v>
      </c>
      <c r="AI349" s="32">
        <f t="shared" si="220"/>
        <v>1.5707963267948966</v>
      </c>
      <c r="AJ349" s="32" t="str">
        <f t="shared" si="206"/>
        <v>1+1.54067992746232i</v>
      </c>
      <c r="AK349" s="32">
        <f t="shared" si="221"/>
        <v>1.8367619984323771</v>
      </c>
      <c r="AL349" s="32">
        <f t="shared" si="222"/>
        <v>0.99507932771028129</v>
      </c>
      <c r="AM349" s="32" t="str">
        <f t="shared" si="207"/>
        <v>1+33.3172034313727i</v>
      </c>
      <c r="AN349" s="32">
        <f t="shared" si="223"/>
        <v>33.332207314959994</v>
      </c>
      <c r="AO349" s="32">
        <f t="shared" si="224"/>
        <v>1.5407908110642725</v>
      </c>
      <c r="AP349" s="61" t="str">
        <f t="shared" si="225"/>
        <v>-0.04210310324671+0.0693374675367318i</v>
      </c>
      <c r="AQ349" s="52">
        <f t="shared" si="226"/>
        <v>-21.817506295486385</v>
      </c>
      <c r="AR349" s="64">
        <f t="shared" si="227"/>
        <v>121.2669648280073</v>
      </c>
      <c r="AS349" s="61" t="str">
        <f t="shared" si="228"/>
        <v>0.10948923194626-0.0527207053877431i</v>
      </c>
      <c r="AT349" s="67">
        <f t="shared" si="229"/>
        <v>-18.306969998297717</v>
      </c>
      <c r="AU349" s="64">
        <f t="shared" si="230"/>
        <v>-25.711511899291036</v>
      </c>
    </row>
    <row r="350" spans="14:47" x14ac:dyDescent="0.25">
      <c r="N350" s="11">
        <v>32</v>
      </c>
      <c r="O350" s="53">
        <f t="shared" si="198"/>
        <v>20892.961308540423</v>
      </c>
      <c r="P350" s="51" t="str">
        <f t="shared" si="199"/>
        <v>122.692307692308</v>
      </c>
      <c r="Q350" s="18" t="str">
        <f t="shared" si="200"/>
        <v>1+134.556206205225i</v>
      </c>
      <c r="R350" s="18">
        <f t="shared" si="208"/>
        <v>134.55992207319025</v>
      </c>
      <c r="S350" s="18">
        <f t="shared" si="209"/>
        <v>1.5633646250691247</v>
      </c>
      <c r="T350" s="18" t="str">
        <f t="shared" si="201"/>
        <v>1+0.0269112412410451i</v>
      </c>
      <c r="U350" s="18">
        <f t="shared" si="210"/>
        <v>1.0003620419153925</v>
      </c>
      <c r="V350" s="18">
        <f t="shared" si="211"/>
        <v>2.6904747555165299E-2</v>
      </c>
      <c r="W350" s="32" t="str">
        <f t="shared" si="202"/>
        <v>1-1.27477155646958i</v>
      </c>
      <c r="X350" s="18">
        <f t="shared" si="212"/>
        <v>1.6201982968710578</v>
      </c>
      <c r="Y350" s="18">
        <f t="shared" si="213"/>
        <v>-0.90560662528162283</v>
      </c>
      <c r="Z350" s="32" t="str">
        <f t="shared" si="203"/>
        <v>0.985746421804403+0.136033547516131i</v>
      </c>
      <c r="AA350" s="18">
        <f t="shared" si="214"/>
        <v>0.99508850568680951</v>
      </c>
      <c r="AB350" s="18">
        <f t="shared" si="215"/>
        <v>0.13713439049658191</v>
      </c>
      <c r="AC350" s="69" t="str">
        <f t="shared" si="216"/>
        <v>-1.25639589581492-0.791889276809662i</v>
      </c>
      <c r="AD350" s="67">
        <f t="shared" si="217"/>
        <v>3.4353054818534274</v>
      </c>
      <c r="AE350" s="64">
        <f t="shared" si="218"/>
        <v>-147.77732570201283</v>
      </c>
      <c r="AF350" s="32" t="str">
        <f t="shared" si="204"/>
        <v>-0.0000198412698412698</v>
      </c>
      <c r="AG350" s="32" t="str">
        <f t="shared" si="205"/>
        <v>0.00454209242409833i</v>
      </c>
      <c r="AH350" s="32">
        <f t="shared" si="219"/>
        <v>4.5420924240983304E-3</v>
      </c>
      <c r="AI350" s="32">
        <f t="shared" si="220"/>
        <v>1.5707963267948966</v>
      </c>
      <c r="AJ350" s="32" t="str">
        <f t="shared" si="206"/>
        <v>1+1.57656697311982i</v>
      </c>
      <c r="AK350" s="32">
        <f t="shared" si="221"/>
        <v>1.8669663683987965</v>
      </c>
      <c r="AL350" s="32">
        <f t="shared" si="222"/>
        <v>1.0055447378926918</v>
      </c>
      <c r="AM350" s="32" t="str">
        <f t="shared" si="207"/>
        <v>1+34.0932607937162i</v>
      </c>
      <c r="AN350" s="32">
        <f t="shared" si="223"/>
        <v>34.107923295743852</v>
      </c>
      <c r="AO350" s="32">
        <f t="shared" si="224"/>
        <v>1.5414734239859822</v>
      </c>
      <c r="AP350" s="61" t="str">
        <f t="shared" si="225"/>
        <v>-0.0407518086915265+0.068616266136812i</v>
      </c>
      <c r="AQ350" s="52">
        <f t="shared" si="226"/>
        <v>-21.959354411564014</v>
      </c>
      <c r="AR350" s="64">
        <f t="shared" si="227"/>
        <v>120.706451833137</v>
      </c>
      <c r="AS350" s="61" t="str">
        <f t="shared" si="228"/>
        <v>0.105536890555528-0.0539382748470163i</v>
      </c>
      <c r="AT350" s="67">
        <f t="shared" si="229"/>
        <v>-18.524048929710588</v>
      </c>
      <c r="AU350" s="64">
        <f t="shared" si="230"/>
        <v>-27.070873868875879</v>
      </c>
    </row>
    <row r="351" spans="14:47" x14ac:dyDescent="0.25">
      <c r="N351" s="11">
        <v>33</v>
      </c>
      <c r="O351" s="53">
        <f t="shared" si="198"/>
        <v>21379.620895022348</v>
      </c>
      <c r="P351" s="51" t="str">
        <f t="shared" si="199"/>
        <v>122.692307692308</v>
      </c>
      <c r="Q351" s="18" t="str">
        <f t="shared" si="200"/>
        <v>1+137.690422877691i</v>
      </c>
      <c r="R351" s="18">
        <f t="shared" si="208"/>
        <v>137.69405416443141</v>
      </c>
      <c r="S351" s="18">
        <f t="shared" si="209"/>
        <v>1.5635337852358286</v>
      </c>
      <c r="T351" s="18" t="str">
        <f t="shared" si="201"/>
        <v>1+0.0275380845755382i</v>
      </c>
      <c r="U351" s="18">
        <f t="shared" si="210"/>
        <v>1.0003791011921879</v>
      </c>
      <c r="V351" s="18">
        <f t="shared" si="211"/>
        <v>2.7531126608160095E-2</v>
      </c>
      <c r="W351" s="32" t="str">
        <f t="shared" si="202"/>
        <v>1-1.30446480049415i</v>
      </c>
      <c r="X351" s="18">
        <f t="shared" si="212"/>
        <v>1.6436631089515401</v>
      </c>
      <c r="Y351" s="18">
        <f t="shared" si="213"/>
        <v>-0.91675690256703546</v>
      </c>
      <c r="Z351" s="32" t="str">
        <f t="shared" si="203"/>
        <v>0.985074671359514+0.139202175888348i</v>
      </c>
      <c r="AA351" s="18">
        <f t="shared" si="214"/>
        <v>0.9948614747421396</v>
      </c>
      <c r="AB351" s="18">
        <f t="shared" si="215"/>
        <v>0.14038179534785922</v>
      </c>
      <c r="AC351" s="69" t="str">
        <f t="shared" si="216"/>
        <v>-1.25671120322876-0.767820856195256i</v>
      </c>
      <c r="AD351" s="67">
        <f t="shared" si="217"/>
        <v>3.3623390516245042</v>
      </c>
      <c r="AE351" s="64">
        <f t="shared" si="218"/>
        <v>-148.57605541071797</v>
      </c>
      <c r="AF351" s="32" t="str">
        <f t="shared" si="204"/>
        <v>-0.0000198412698412698</v>
      </c>
      <c r="AG351" s="32" t="str">
        <f t="shared" si="205"/>
        <v>0.00464789134787132i</v>
      </c>
      <c r="AH351" s="32">
        <f t="shared" si="219"/>
        <v>4.6478913478713198E-3</v>
      </c>
      <c r="AI351" s="32">
        <f t="shared" si="220"/>
        <v>1.5707963267948966</v>
      </c>
      <c r="AJ351" s="32" t="str">
        <f t="shared" si="206"/>
        <v>1+1.61328993545479i</v>
      </c>
      <c r="AK351" s="32">
        <f t="shared" si="221"/>
        <v>1.8980791384554336</v>
      </c>
      <c r="AL351" s="32">
        <f t="shared" si="222"/>
        <v>1.0159079567578597</v>
      </c>
      <c r="AM351" s="32" t="str">
        <f t="shared" si="207"/>
        <v>1+34.8873948542099i</v>
      </c>
      <c r="AN351" s="32">
        <f t="shared" si="223"/>
        <v>34.901723735562854</v>
      </c>
      <c r="AO351" s="32">
        <f t="shared" si="224"/>
        <v>1.5421405251545144</v>
      </c>
      <c r="AP351" s="61" t="str">
        <f t="shared" si="225"/>
        <v>-0.0394267742530727+0.067875693663013i</v>
      </c>
      <c r="AQ351" s="52">
        <f t="shared" si="226"/>
        <v>-22.103078859737309</v>
      </c>
      <c r="AR351" s="64">
        <f t="shared" si="227"/>
        <v>120.15090521145767</v>
      </c>
      <c r="AS351" s="61" t="str">
        <f t="shared" si="228"/>
        <v>0.101664442134189-0.0550274450892204i</v>
      </c>
      <c r="AT351" s="67">
        <f t="shared" si="229"/>
        <v>-18.740739808112824</v>
      </c>
      <c r="AU351" s="64">
        <f t="shared" si="230"/>
        <v>-28.425150199260347</v>
      </c>
    </row>
    <row r="352" spans="14:47" x14ac:dyDescent="0.25">
      <c r="N352" s="11">
        <v>34</v>
      </c>
      <c r="O352" s="53">
        <f t="shared" si="198"/>
        <v>21877.61623949555</v>
      </c>
      <c r="P352" s="51" t="str">
        <f t="shared" si="199"/>
        <v>122.692307692308</v>
      </c>
      <c r="Q352" s="18" t="str">
        <f t="shared" si="200"/>
        <v>1+140.897644834915i</v>
      </c>
      <c r="R352" s="18">
        <f t="shared" si="208"/>
        <v>140.90119346558373</v>
      </c>
      <c r="S352" s="18">
        <f t="shared" si="209"/>
        <v>1.5636990952486676</v>
      </c>
      <c r="T352" s="18" t="str">
        <f t="shared" si="201"/>
        <v>1+0.028179528966983i</v>
      </c>
      <c r="U352" s="18">
        <f t="shared" si="210"/>
        <v>1.0003969641361379</v>
      </c>
      <c r="V352" s="18">
        <f t="shared" si="211"/>
        <v>2.8172073530384374E-2</v>
      </c>
      <c r="W352" s="32" t="str">
        <f t="shared" si="202"/>
        <v>1-1.33484968902258i</v>
      </c>
      <c r="X352" s="18">
        <f t="shared" si="212"/>
        <v>1.6678799993655655</v>
      </c>
      <c r="Y352" s="18">
        <f t="shared" si="213"/>
        <v>-0.92784070895960369</v>
      </c>
      <c r="Z352" s="32" t="str">
        <f t="shared" si="203"/>
        <v>0.984371262291506+0.14244461109678i</v>
      </c>
      <c r="AA352" s="18">
        <f t="shared" si="214"/>
        <v>0.99462417488008292</v>
      </c>
      <c r="AB352" s="18">
        <f t="shared" si="215"/>
        <v>0.14370864606433686</v>
      </c>
      <c r="AC352" s="69" t="str">
        <f t="shared" si="216"/>
        <v>-1.25701175666098-0.744150782938329i</v>
      </c>
      <c r="AD352" s="67">
        <f t="shared" si="217"/>
        <v>3.2916163705917172</v>
      </c>
      <c r="AE352" s="64">
        <f t="shared" si="218"/>
        <v>-149.37447325558807</v>
      </c>
      <c r="AF352" s="32" t="str">
        <f t="shared" si="204"/>
        <v>-0.0000198412698412698</v>
      </c>
      <c r="AG352" s="32" t="str">
        <f t="shared" si="205"/>
        <v>0.00475615464515907i</v>
      </c>
      <c r="AH352" s="32">
        <f t="shared" si="219"/>
        <v>4.7561546451590697E-3</v>
      </c>
      <c r="AI352" s="32">
        <f t="shared" si="220"/>
        <v>1.5707963267948966</v>
      </c>
      <c r="AJ352" s="32" t="str">
        <f t="shared" si="206"/>
        <v>1+1.65086828546796i</v>
      </c>
      <c r="AK352" s="32">
        <f t="shared" si="221"/>
        <v>1.9301207464725936</v>
      </c>
      <c r="AL352" s="32">
        <f t="shared" si="222"/>
        <v>1.0261655749177059</v>
      </c>
      <c r="AM352" s="32" t="str">
        <f t="shared" si="207"/>
        <v>1+35.7000266732446i</v>
      </c>
      <c r="AN352" s="32">
        <f t="shared" si="223"/>
        <v>35.71402951880922</v>
      </c>
      <c r="AO352" s="32">
        <f t="shared" si="224"/>
        <v>1.5427924658993717</v>
      </c>
      <c r="AP352" s="61" t="str">
        <f t="shared" si="225"/>
        <v>-0.0381286053625041+0.0671170094637268i</v>
      </c>
      <c r="AQ352" s="52">
        <f t="shared" si="226"/>
        <v>-22.248642584936427</v>
      </c>
      <c r="AR352" s="64">
        <f t="shared" si="227"/>
        <v>119.6005404362148</v>
      </c>
      <c r="AS352" s="61" t="str">
        <f t="shared" si="228"/>
        <v>0.0978732803466661-0.0559934384349768i</v>
      </c>
      <c r="AT352" s="67">
        <f t="shared" si="229"/>
        <v>-18.957026214344708</v>
      </c>
      <c r="AU352" s="64">
        <f t="shared" si="230"/>
        <v>-29.773932819373233</v>
      </c>
    </row>
    <row r="353" spans="14:47" x14ac:dyDescent="0.25">
      <c r="N353" s="11">
        <v>35</v>
      </c>
      <c r="O353" s="53">
        <f t="shared" si="198"/>
        <v>22387.211385683382</v>
      </c>
      <c r="P353" s="51" t="str">
        <f t="shared" si="199"/>
        <v>122.692307692308</v>
      </c>
      <c r="Q353" s="18" t="str">
        <f t="shared" si="200"/>
        <v>1+144.17957258843i</v>
      </c>
      <c r="R353" s="18">
        <f t="shared" si="208"/>
        <v>144.18304044436834</v>
      </c>
      <c r="S353" s="18">
        <f t="shared" si="209"/>
        <v>1.5638606427210375</v>
      </c>
      <c r="T353" s="18" t="str">
        <f t="shared" si="201"/>
        <v>1+0.0288359145176861i</v>
      </c>
      <c r="U353" s="18">
        <f t="shared" si="210"/>
        <v>1.0004156685928463</v>
      </c>
      <c r="V353" s="18">
        <f t="shared" si="211"/>
        <v>2.8827926052699723E-2</v>
      </c>
      <c r="W353" s="32" t="str">
        <f t="shared" si="202"/>
        <v>1-1.36594233252494i</v>
      </c>
      <c r="X353" s="18">
        <f t="shared" si="212"/>
        <v>1.6928669338680087</v>
      </c>
      <c r="Y353" s="18">
        <f t="shared" si="213"/>
        <v>-0.93885302844202467</v>
      </c>
      <c r="Z353" s="32" t="str">
        <f t="shared" si="203"/>
        <v>0.983634702575436+0.145762572323491i</v>
      </c>
      <c r="AA353" s="18">
        <f t="shared" si="214"/>
        <v>0.99437616403503315</v>
      </c>
      <c r="AB353" s="18">
        <f t="shared" si="215"/>
        <v>0.14711706564901006</v>
      </c>
      <c r="AC353" s="69" t="str">
        <f t="shared" si="216"/>
        <v>-1.25729801771819-0.720865914443324i</v>
      </c>
      <c r="AD353" s="67">
        <f t="shared" si="217"/>
        <v>3.2231151501966955</v>
      </c>
      <c r="AE353" s="64">
        <f t="shared" si="218"/>
        <v>-150.17239914843802</v>
      </c>
      <c r="AF353" s="32" t="str">
        <f t="shared" si="204"/>
        <v>-0.0000198412698412698</v>
      </c>
      <c r="AG353" s="32" t="str">
        <f t="shared" si="205"/>
        <v>0.00486693971859483i</v>
      </c>
      <c r="AH353" s="32">
        <f t="shared" si="219"/>
        <v>4.8669397185948302E-3</v>
      </c>
      <c r="AI353" s="32">
        <f t="shared" si="220"/>
        <v>1.5707963267948966</v>
      </c>
      <c r="AJ353" s="32" t="str">
        <f t="shared" si="206"/>
        <v>1+1.6893219476979i</v>
      </c>
      <c r="AK353" s="32">
        <f t="shared" si="221"/>
        <v>1.9631119792242686</v>
      </c>
      <c r="AL353" s="32">
        <f t="shared" si="222"/>
        <v>1.0363143963321966</v>
      </c>
      <c r="AM353" s="32" t="str">
        <f t="shared" si="207"/>
        <v>1+36.531587118967i</v>
      </c>
      <c r="AN353" s="32">
        <f t="shared" si="223"/>
        <v>36.545271341593242</v>
      </c>
      <c r="AO353" s="32">
        <f t="shared" si="224"/>
        <v>1.5434295896701598</v>
      </c>
      <c r="AP353" s="61" t="str">
        <f t="shared" si="225"/>
        <v>-0.0368578273762579+0.0663414812541149i</v>
      </c>
      <c r="AQ353" s="52">
        <f t="shared" si="226"/>
        <v>-22.396007720185928</v>
      </c>
      <c r="AR353" s="64">
        <f t="shared" si="227"/>
        <v>119.05556030522602</v>
      </c>
      <c r="AS353" s="61" t="str">
        <f t="shared" si="228"/>
        <v>0.0941645858473405-0.0568414614373068i</v>
      </c>
      <c r="AT353" s="67">
        <f t="shared" si="229"/>
        <v>-19.17289256998923</v>
      </c>
      <c r="AU353" s="64">
        <f t="shared" si="230"/>
        <v>-31.116838843211987</v>
      </c>
    </row>
    <row r="354" spans="14:47" x14ac:dyDescent="0.25">
      <c r="N354" s="11">
        <v>36</v>
      </c>
      <c r="O354" s="53">
        <f t="shared" si="198"/>
        <v>22908.676527677751</v>
      </c>
      <c r="P354" s="51" t="str">
        <f t="shared" si="199"/>
        <v>122.692307692308</v>
      </c>
      <c r="Q354" s="18" t="str">
        <f t="shared" si="200"/>
        <v>1+147.537946259776i</v>
      </c>
      <c r="R354" s="18">
        <f t="shared" si="208"/>
        <v>147.5413351795101</v>
      </c>
      <c r="S354" s="18">
        <f t="shared" si="209"/>
        <v>1.5640185132737996</v>
      </c>
      <c r="T354" s="18" t="str">
        <f t="shared" si="201"/>
        <v>1+0.0295075892519552i</v>
      </c>
      <c r="U354" s="18">
        <f t="shared" si="210"/>
        <v>1.0004352541886268</v>
      </c>
      <c r="V354" s="18">
        <f t="shared" si="211"/>
        <v>2.9499029658622902E-2</v>
      </c>
      <c r="W354" s="32" t="str">
        <f t="shared" si="202"/>
        <v>1-1.39775921673241i</v>
      </c>
      <c r="X354" s="18">
        <f t="shared" si="212"/>
        <v>1.7186421465681565</v>
      </c>
      <c r="Y354" s="18">
        <f t="shared" si="213"/>
        <v>-0.94978901641783786</v>
      </c>
      <c r="Z354" s="32" t="str">
        <f t="shared" si="203"/>
        <v>0.982863429869395+0.149157818795446i</v>
      </c>
      <c r="AA354" s="18">
        <f t="shared" si="214"/>
        <v>0.99411698339905974</v>
      </c>
      <c r="AB354" s="18">
        <f t="shared" si="215"/>
        <v>0.15060924607894813</v>
      </c>
      <c r="AC354" s="69" t="str">
        <f t="shared" si="216"/>
        <v>-1.25757040038379-0.697953268979481i</v>
      </c>
      <c r="AD354" s="67">
        <f t="shared" si="217"/>
        <v>3.1568115542920028</v>
      </c>
      <c r="AE354" s="64">
        <f t="shared" si="218"/>
        <v>-150.96966621633885</v>
      </c>
      <c r="AF354" s="32" t="str">
        <f t="shared" si="204"/>
        <v>-0.0000198412698412698</v>
      </c>
      <c r="AG354" s="32" t="str">
        <f t="shared" si="205"/>
        <v>0.00498030530789096i</v>
      </c>
      <c r="AH354" s="32">
        <f t="shared" si="219"/>
        <v>4.9803053078909601E-3</v>
      </c>
      <c r="AI354" s="32">
        <f t="shared" si="220"/>
        <v>1.5707963267948966</v>
      </c>
      <c r="AJ354" s="32" t="str">
        <f t="shared" si="206"/>
        <v>1+1.72867131078534i</v>
      </c>
      <c r="AK354" s="32">
        <f t="shared" si="221"/>
        <v>1.9970739847918269</v>
      </c>
      <c r="AL354" s="32">
        <f t="shared" si="222"/>
        <v>1.0463514390313733</v>
      </c>
      <c r="AM354" s="32" t="str">
        <f t="shared" si="207"/>
        <v>1+37.3825170957331i</v>
      </c>
      <c r="AN354" s="32">
        <f t="shared" si="223"/>
        <v>37.395889940109427</v>
      </c>
      <c r="AO354" s="32">
        <f t="shared" si="224"/>
        <v>1.5440522322081469</v>
      </c>
      <c r="AP354" s="61" t="str">
        <f t="shared" si="225"/>
        <v>-0.0356148868968706+0.0655503797036316i</v>
      </c>
      <c r="AQ354" s="52">
        <f t="shared" si="226"/>
        <v>-22.545135699182296</v>
      </c>
      <c r="AR354" s="64">
        <f t="shared" si="227"/>
        <v>118.51615490934253</v>
      </c>
      <c r="AS354" s="61" t="str">
        <f t="shared" si="228"/>
        <v>0.0905393293715168-0.0575766905152001i</v>
      </c>
      <c r="AT354" s="67">
        <f t="shared" si="229"/>
        <v>-19.388324144890301</v>
      </c>
      <c r="AU354" s="64">
        <f t="shared" si="230"/>
        <v>-32.453511306996319</v>
      </c>
    </row>
    <row r="355" spans="14:47" x14ac:dyDescent="0.25">
      <c r="N355" s="11">
        <v>37</v>
      </c>
      <c r="O355" s="53">
        <f t="shared" si="198"/>
        <v>23442.288153199243</v>
      </c>
      <c r="P355" s="51" t="str">
        <f t="shared" si="199"/>
        <v>122.692307692308</v>
      </c>
      <c r="Q355" s="18" t="str">
        <f t="shared" si="200"/>
        <v>1+150.974546503123i</v>
      </c>
      <c r="R355" s="18">
        <f t="shared" si="208"/>
        <v>150.97785828333787</v>
      </c>
      <c r="S355" s="18">
        <f t="shared" si="209"/>
        <v>1.5641727905805152</v>
      </c>
      <c r="T355" s="18" t="str">
        <f t="shared" si="201"/>
        <v>1+0.0301949093006247i</v>
      </c>
      <c r="U355" s="18">
        <f t="shared" si="210"/>
        <v>1.0004557624141472</v>
      </c>
      <c r="V355" s="18">
        <f t="shared" si="211"/>
        <v>3.0185737756771386E-2</v>
      </c>
      <c r="W355" s="32" t="str">
        <f t="shared" si="202"/>
        <v>1-1.43031721137811i</v>
      </c>
      <c r="X355" s="18">
        <f t="shared" si="212"/>
        <v>1.7452241475422154</v>
      </c>
      <c r="Y355" s="18">
        <f t="shared" si="213"/>
        <v>-0.96064400835104469</v>
      </c>
      <c r="Z355" s="32" t="str">
        <f t="shared" si="203"/>
        <v>0.982055808200567+0.152632150717263i</v>
      </c>
      <c r="AA355" s="18">
        <f t="shared" si="214"/>
        <v>0.99384615703490364</v>
      </c>
      <c r="AB355" s="18">
        <f t="shared" si="215"/>
        <v>0.15418745131017922</v>
      </c>
      <c r="AC355" s="69" t="str">
        <f t="shared" si="216"/>
        <v>-1.25782927016941-0.675400015937267i</v>
      </c>
      <c r="AD355" s="67">
        <f t="shared" si="217"/>
        <v>3.0926803084605292</v>
      </c>
      <c r="AE355" s="64">
        <f t="shared" si="218"/>
        <v>-151.76612146150936</v>
      </c>
      <c r="AF355" s="32" t="str">
        <f t="shared" si="204"/>
        <v>-0.0000198412698412698</v>
      </c>
      <c r="AG355" s="32" t="str">
        <f t="shared" si="205"/>
        <v>0.00509631152098346i</v>
      </c>
      <c r="AH355" s="32">
        <f t="shared" si="219"/>
        <v>5.0963115209834596E-3</v>
      </c>
      <c r="AI355" s="32">
        <f t="shared" si="220"/>
        <v>1.5707963267948966</v>
      </c>
      <c r="AJ355" s="32" t="str">
        <f t="shared" si="206"/>
        <v>1+1.76893723828343i</v>
      </c>
      <c r="AK355" s="32">
        <f t="shared" si="221"/>
        <v>2.0320282854787748</v>
      </c>
      <c r="AL355" s="32">
        <f t="shared" si="222"/>
        <v>1.0562739349847272</v>
      </c>
      <c r="AM355" s="32" t="str">
        <f t="shared" si="207"/>
        <v>1+38.2532677778792i</v>
      </c>
      <c r="AN355" s="32">
        <f t="shared" si="223"/>
        <v>38.266336324322076</v>
      </c>
      <c r="AO355" s="32">
        <f t="shared" si="224"/>
        <v>1.5446607217144348</v>
      </c>
      <c r="AP355" s="61" t="str">
        <f t="shared" si="225"/>
        <v>-0.0344001534753751+0.0647449732797691i</v>
      </c>
      <c r="AQ355" s="52">
        <f t="shared" si="226"/>
        <v>-22.695987366707225</v>
      </c>
      <c r="AR355" s="64">
        <f t="shared" si="227"/>
        <v>117.98250164956812</v>
      </c>
      <c r="AS355" s="61" t="str">
        <f t="shared" si="228"/>
        <v>0.0869982759246607-0.0582042582821171i</v>
      </c>
      <c r="AT355" s="67">
        <f t="shared" si="229"/>
        <v>-19.603307058246699</v>
      </c>
      <c r="AU355" s="64">
        <f t="shared" si="230"/>
        <v>-33.783619811941222</v>
      </c>
    </row>
    <row r="356" spans="14:47" x14ac:dyDescent="0.25">
      <c r="N356" s="11">
        <v>38</v>
      </c>
      <c r="O356" s="53">
        <f t="shared" si="198"/>
        <v>23988.329190194923</v>
      </c>
      <c r="P356" s="51" t="str">
        <f t="shared" si="199"/>
        <v>122.692307692308</v>
      </c>
      <c r="Q356" s="18" t="str">
        <f t="shared" si="200"/>
        <v>1+154.49119544941i</v>
      </c>
      <c r="R356" s="18">
        <f t="shared" si="208"/>
        <v>154.49443184590115</v>
      </c>
      <c r="S356" s="18">
        <f t="shared" si="209"/>
        <v>1.5643235564116615</v>
      </c>
      <c r="T356" s="18" t="str">
        <f t="shared" si="201"/>
        <v>1+0.0308982390898821i</v>
      </c>
      <c r="U356" s="18">
        <f t="shared" si="210"/>
        <v>1.0004772367119881</v>
      </c>
      <c r="V356" s="18">
        <f t="shared" si="211"/>
        <v>3.088841185674961E-2</v>
      </c>
      <c r="W356" s="32" t="str">
        <f t="shared" si="202"/>
        <v>1-1.46363357914177i</v>
      </c>
      <c r="X356" s="18">
        <f t="shared" si="212"/>
        <v>1.7726317310686244</v>
      </c>
      <c r="Y356" s="18">
        <f t="shared" si="213"/>
        <v>-0.97141352743011333</v>
      </c>
      <c r="Z356" s="32" t="str">
        <f t="shared" si="203"/>
        <v>0.981210124495113+0.156187410225714i</v>
      </c>
      <c r="AA356" s="18">
        <f t="shared" si="214"/>
        <v>0.99356319151060069</v>
      </c>
      <c r="AB356" s="18">
        <f t="shared" si="215"/>
        <v>0.15785402045241551</v>
      </c>
      <c r="AC356" s="69" t="str">
        <f t="shared" si="216"/>
        <v>-1.25807494298962-0.65319346596865i</v>
      </c>
      <c r="AD356" s="67">
        <f t="shared" si="217"/>
        <v>3.030694812785649</v>
      </c>
      <c r="AE356" s="64">
        <f t="shared" si="218"/>
        <v>-152.56162637478624</v>
      </c>
      <c r="AF356" s="32" t="str">
        <f t="shared" si="204"/>
        <v>-0.0000198412698412698</v>
      </c>
      <c r="AG356" s="32" t="str">
        <f t="shared" si="205"/>
        <v>0.00521501986590205i</v>
      </c>
      <c r="AH356" s="32">
        <f t="shared" si="219"/>
        <v>5.2150198659020501E-3</v>
      </c>
      <c r="AI356" s="32">
        <f t="shared" si="220"/>
        <v>1.5707963267948966</v>
      </c>
      <c r="AJ356" s="32" t="str">
        <f t="shared" si="206"/>
        <v>1+1.8101410797199i</v>
      </c>
      <c r="AK356" s="32">
        <f t="shared" si="221"/>
        <v>2.0679967912183823</v>
      </c>
      <c r="AL356" s="32">
        <f t="shared" si="222"/>
        <v>1.0660793291615493</v>
      </c>
      <c r="AM356" s="32" t="str">
        <f t="shared" si="207"/>
        <v>1+39.1443008489428i</v>
      </c>
      <c r="AN356" s="32">
        <f t="shared" si="223"/>
        <v>39.157072017102401</v>
      </c>
      <c r="AO356" s="32">
        <f t="shared" si="224"/>
        <v>1.54525537901479</v>
      </c>
      <c r="AP356" s="61" t="str">
        <f t="shared" si="225"/>
        <v>-0.033213921659414+0.0639265233735899i</v>
      </c>
      <c r="AQ356" s="52">
        <f t="shared" si="226"/>
        <v>-22.848523086365418</v>
      </c>
      <c r="AR356" s="64">
        <f t="shared" si="227"/>
        <v>117.45476530034101</v>
      </c>
      <c r="AS356" s="61" t="str">
        <f t="shared" si="228"/>
        <v>0.0835419899678501-0.0587292406416299i</v>
      </c>
      <c r="AT356" s="67">
        <f t="shared" si="229"/>
        <v>-19.817828273579771</v>
      </c>
      <c r="AU356" s="64">
        <f t="shared" si="230"/>
        <v>-35.106861074445234</v>
      </c>
    </row>
    <row r="357" spans="14:47" x14ac:dyDescent="0.25">
      <c r="N357" s="11">
        <v>39</v>
      </c>
      <c r="O357" s="53">
        <f t="shared" si="198"/>
        <v>24547.089156850321</v>
      </c>
      <c r="P357" s="51" t="str">
        <f t="shared" si="199"/>
        <v>122.692307692308</v>
      </c>
      <c r="Q357" s="18" t="str">
        <f t="shared" si="200"/>
        <v>1+158.089757672458i</v>
      </c>
      <c r="R357" s="18">
        <f t="shared" si="208"/>
        <v>158.09292040106189</v>
      </c>
      <c r="S357" s="18">
        <f t="shared" si="209"/>
        <v>1.5644708906778464</v>
      </c>
      <c r="T357" s="18" t="str">
        <f t="shared" si="201"/>
        <v>1+0.0316179515344916i</v>
      </c>
      <c r="U357" s="18">
        <f t="shared" si="210"/>
        <v>1.0004997225682961</v>
      </c>
      <c r="V357" s="18">
        <f t="shared" si="211"/>
        <v>3.1607421748511236E-2</v>
      </c>
      <c r="W357" s="32" t="str">
        <f t="shared" si="202"/>
        <v>1-1.49772598480257i</v>
      </c>
      <c r="X357" s="18">
        <f t="shared" si="212"/>
        <v>1.8008839844789637</v>
      </c>
      <c r="Y357" s="18">
        <f t="shared" si="213"/>
        <v>-0.98209329124268785</v>
      </c>
      <c r="Z357" s="32" t="str">
        <f t="shared" si="203"/>
        <v>0.980324584944511+0.159825482366452i</v>
      </c>
      <c r="AA357" s="18">
        <f t="shared" si="214"/>
        <v>0.99326757556073331</v>
      </c>
      <c r="AB357" s="18">
        <f t="shared" si="215"/>
        <v>0.16161137112458757</v>
      </c>
      <c r="AC357" s="69" t="str">
        <f t="shared" si="216"/>
        <v>-1.25830768373952-0.631321060995322i</v>
      </c>
      <c r="AD357" s="67">
        <f t="shared" si="217"/>
        <v>2.970827257258104</v>
      </c>
      <c r="AE357" s="64">
        <f t="shared" si="218"/>
        <v>-153.35605750251347</v>
      </c>
      <c r="AF357" s="32" t="str">
        <f t="shared" si="204"/>
        <v>-0.0000198412698412698</v>
      </c>
      <c r="AG357" s="32" t="str">
        <f t="shared" si="205"/>
        <v>0.00533649328338249i</v>
      </c>
      <c r="AH357" s="32">
        <f t="shared" si="219"/>
        <v>5.3364932833824897E-3</v>
      </c>
      <c r="AI357" s="32">
        <f t="shared" si="220"/>
        <v>1.5707963267948966</v>
      </c>
      <c r="AJ357" s="32" t="str">
        <f t="shared" si="206"/>
        <v>1+1.85230468191689i</v>
      </c>
      <c r="AK357" s="32">
        <f t="shared" si="221"/>
        <v>2.1050018134555684</v>
      </c>
      <c r="AL357" s="32">
        <f t="shared" si="222"/>
        <v>1.0757652778295688</v>
      </c>
      <c r="AM357" s="32" t="str">
        <f t="shared" si="207"/>
        <v>1+40.0560887464527i</v>
      </c>
      <c r="AN357" s="32">
        <f t="shared" si="223"/>
        <v>40.068569298936723</v>
      </c>
      <c r="AO357" s="32">
        <f t="shared" si="224"/>
        <v>1.5458365177211721</v>
      </c>
      <c r="AP357" s="61" t="str">
        <f t="shared" si="225"/>
        <v>-0.0320564133500319+0.063096279727935i</v>
      </c>
      <c r="AQ357" s="52">
        <f t="shared" si="226"/>
        <v>-23.002702845188473</v>
      </c>
      <c r="AR357" s="64">
        <f t="shared" si="227"/>
        <v>116.93309811627053</v>
      </c>
      <c r="AS357" s="61" t="str">
        <f t="shared" si="228"/>
        <v>0.0801708414941728-0.059156644709192i</v>
      </c>
      <c r="AT357" s="67">
        <f t="shared" si="229"/>
        <v>-20.031875587930372</v>
      </c>
      <c r="AU357" s="64">
        <f t="shared" si="230"/>
        <v>-36.422959386242937</v>
      </c>
    </row>
    <row r="358" spans="14:47" x14ac:dyDescent="0.25">
      <c r="N358" s="11">
        <v>40</v>
      </c>
      <c r="O358" s="53">
        <f t="shared" si="198"/>
        <v>25118.86431509586</v>
      </c>
      <c r="P358" s="51" t="str">
        <f t="shared" si="199"/>
        <v>122.692307692308</v>
      </c>
      <c r="Q358" s="18" t="str">
        <f t="shared" si="200"/>
        <v>1+161.772141177589i</v>
      </c>
      <c r="R358" s="18">
        <f t="shared" si="208"/>
        <v>161.77523191509192</v>
      </c>
      <c r="S358" s="18">
        <f t="shared" si="209"/>
        <v>1.5646148714720474</v>
      </c>
      <c r="T358" s="18" t="str">
        <f t="shared" si="201"/>
        <v>1+0.0323544282355179i</v>
      </c>
      <c r="U358" s="18">
        <f t="shared" si="210"/>
        <v>1.0005232676087286</v>
      </c>
      <c r="V358" s="18">
        <f t="shared" si="211"/>
        <v>3.2343145685235032E-2</v>
      </c>
      <c r="W358" s="32" t="str">
        <f t="shared" si="202"/>
        <v>1-1.53261250460526i</v>
      </c>
      <c r="X358" s="18">
        <f t="shared" si="212"/>
        <v>1.830000297615388</v>
      </c>
      <c r="Y358" s="18">
        <f t="shared" si="213"/>
        <v>-0.99267921745645482</v>
      </c>
      <c r="Z358" s="32" t="str">
        <f t="shared" si="203"/>
        <v>0.979397311200647+0.163548296093483i</v>
      </c>
      <c r="AA358" s="18">
        <f t="shared" si="214"/>
        <v>0.99295877977997593</v>
      </c>
      <c r="AB358" s="18">
        <f t="shared" si="215"/>
        <v>0.16546200300292091</v>
      </c>
      <c r="AC358" s="69" t="str">
        <f t="shared" si="216"/>
        <v>-1.25852770455249-0.609770364067913i</v>
      </c>
      <c r="AD358" s="67">
        <f t="shared" si="217"/>
        <v>2.9130487390076452</v>
      </c>
      <c r="AE358" s="64">
        <f t="shared" si="218"/>
        <v>-154.14930696726393</v>
      </c>
      <c r="AF358" s="32" t="str">
        <f t="shared" si="204"/>
        <v>-0.0000198412698412698</v>
      </c>
      <c r="AG358" s="32" t="str">
        <f t="shared" si="205"/>
        <v>0.00546079618023862i</v>
      </c>
      <c r="AH358" s="32">
        <f t="shared" si="219"/>
        <v>5.4607961802386196E-3</v>
      </c>
      <c r="AI358" s="32">
        <f t="shared" si="220"/>
        <v>1.5707963267948966</v>
      </c>
      <c r="AJ358" s="32" t="str">
        <f t="shared" si="206"/>
        <v>1+1.89545040057439i</v>
      </c>
      <c r="AK358" s="32">
        <f t="shared" si="221"/>
        <v>2.1430660794846284</v>
      </c>
      <c r="AL358" s="32">
        <f t="shared" si="222"/>
        <v>1.0853296461422142</v>
      </c>
      <c r="AM358" s="32" t="str">
        <f t="shared" si="207"/>
        <v>1+40.9891149124212i</v>
      </c>
      <c r="AN358" s="32">
        <f t="shared" si="223"/>
        <v>41.001311458338378</v>
      </c>
      <c r="AO358" s="32">
        <f t="shared" si="224"/>
        <v>1.5464044443900091</v>
      </c>
      <c r="AP358" s="61" t="str">
        <f t="shared" si="225"/>
        <v>-0.0309277804295259+0.0622554761846255i</v>
      </c>
      <c r="AQ358" s="52">
        <f t="shared" si="226"/>
        <v>-23.158486354697331</v>
      </c>
      <c r="AR358" s="64">
        <f t="shared" si="227"/>
        <v>116.41763997944444</v>
      </c>
      <c r="AS358" s="61" t="str">
        <f t="shared" si="228"/>
        <v>0.076885012889195-0.0594913976061345i</v>
      </c>
      <c r="AT358" s="67">
        <f t="shared" si="229"/>
        <v>-20.245437615689688</v>
      </c>
      <c r="AU358" s="64">
        <f t="shared" si="230"/>
        <v>-37.731666987819501</v>
      </c>
    </row>
    <row r="359" spans="14:47" x14ac:dyDescent="0.25">
      <c r="N359" s="11">
        <v>41</v>
      </c>
      <c r="O359" s="53">
        <f t="shared" si="198"/>
        <v>25703.95782768865</v>
      </c>
      <c r="P359" s="51" t="str">
        <f t="shared" si="199"/>
        <v>122.692307692308</v>
      </c>
      <c r="Q359" s="18" t="str">
        <f t="shared" si="200"/>
        <v>1+165.540298413279i</v>
      </c>
      <c r="R359" s="18">
        <f t="shared" si="208"/>
        <v>165.54331879830568</v>
      </c>
      <c r="S359" s="18">
        <f t="shared" si="209"/>
        <v>1.5647555751108952</v>
      </c>
      <c r="T359" s="18" t="str">
        <f t="shared" si="201"/>
        <v>1+0.0331080596826559i</v>
      </c>
      <c r="U359" s="18">
        <f t="shared" si="210"/>
        <v>1.0005479216988811</v>
      </c>
      <c r="V359" s="18">
        <f t="shared" si="211"/>
        <v>3.3095970569750235E-2</v>
      </c>
      <c r="W359" s="32" t="str">
        <f t="shared" si="202"/>
        <v>1-1.56831163584442i</v>
      </c>
      <c r="X359" s="18">
        <f t="shared" si="212"/>
        <v>1.8600003728830272</v>
      </c>
      <c r="Y359" s="18">
        <f t="shared" si="213"/>
        <v>-1.0031674285100196</v>
      </c>
      <c r="Z359" s="32" t="str">
        <f t="shared" si="203"/>
        <v>0.978426336391589+0.167357825291918i</v>
      </c>
      <c r="AA359" s="18">
        <f t="shared" si="214"/>
        <v>0.99263625635532116</v>
      </c>
      <c r="AB359" s="18">
        <f t="shared" si="215"/>
        <v>0.16940850157407003</v>
      </c>
      <c r="AC359" s="69" t="str">
        <f t="shared" si="216"/>
        <v>-1.25873516271263-0.588529049059095i</v>
      </c>
      <c r="AD359" s="67">
        <f t="shared" si="217"/>
        <v>2.8573293805588476</v>
      </c>
      <c r="AE359" s="64">
        <f t="shared" si="218"/>
        <v>-154.9412829433297</v>
      </c>
      <c r="AF359" s="32" t="str">
        <f t="shared" si="204"/>
        <v>-0.0000198412698412698</v>
      </c>
      <c r="AG359" s="32" t="str">
        <f t="shared" si="205"/>
        <v>0.00558799446351168i</v>
      </c>
      <c r="AH359" s="32">
        <f t="shared" si="219"/>
        <v>5.5879944635116802E-3</v>
      </c>
      <c r="AI359" s="32">
        <f t="shared" si="220"/>
        <v>1.5707963267948966</v>
      </c>
      <c r="AJ359" s="32" t="str">
        <f t="shared" si="206"/>
        <v>1+1.93960111212352i</v>
      </c>
      <c r="AK359" s="32">
        <f t="shared" si="221"/>
        <v>2.1822127472248884</v>
      </c>
      <c r="AL359" s="32">
        <f t="shared" si="222"/>
        <v>1.0947705050671666</v>
      </c>
      <c r="AM359" s="32" t="str">
        <f t="shared" si="207"/>
        <v>1+41.943874049671i</v>
      </c>
      <c r="AN359" s="32">
        <f t="shared" si="223"/>
        <v>41.955793048096048</v>
      </c>
      <c r="AO359" s="32">
        <f t="shared" si="224"/>
        <v>1.5469594586772621</v>
      </c>
      <c r="AP359" s="61" t="str">
        <f t="shared" si="225"/>
        <v>-0.0298281076226888+0.0614053267625421i</v>
      </c>
      <c r="AQ359" s="52">
        <f t="shared" si="226"/>
        <v>-23.315833148069018</v>
      </c>
      <c r="AR359" s="64">
        <f t="shared" si="227"/>
        <v>115.90851858429559</v>
      </c>
      <c r="AS359" s="61" t="str">
        <f t="shared" si="228"/>
        <v>0.0736845064685769-0.0597383361594573i</v>
      </c>
      <c r="AT359" s="67">
        <f t="shared" si="229"/>
        <v>-20.458503767510166</v>
      </c>
      <c r="AU359" s="64">
        <f t="shared" si="230"/>
        <v>-39.03276435903414</v>
      </c>
    </row>
    <row r="360" spans="14:47" x14ac:dyDescent="0.25">
      <c r="N360" s="11">
        <v>42</v>
      </c>
      <c r="O360" s="53">
        <f t="shared" si="198"/>
        <v>26302.679918953829</v>
      </c>
      <c r="P360" s="51" t="str">
        <f t="shared" si="199"/>
        <v>122.692307692308</v>
      </c>
      <c r="Q360" s="18" t="str">
        <f t="shared" si="200"/>
        <v>1+169.396227306373i</v>
      </c>
      <c r="R360" s="18">
        <f t="shared" si="208"/>
        <v>169.39917894025459</v>
      </c>
      <c r="S360" s="18">
        <f t="shared" si="209"/>
        <v>1.5648930761750242</v>
      </c>
      <c r="T360" s="18" t="str">
        <f t="shared" si="201"/>
        <v>1+0.0338792454612747i</v>
      </c>
      <c r="U360" s="18">
        <f t="shared" si="210"/>
        <v>1.0005737370494117</v>
      </c>
      <c r="V360" s="18">
        <f t="shared" si="211"/>
        <v>3.3866292144544764E-2</v>
      </c>
      <c r="W360" s="32" t="str">
        <f t="shared" si="202"/>
        <v>1-1.60484230667196i</v>
      </c>
      <c r="X360" s="18">
        <f t="shared" si="212"/>
        <v>1.8909042358840324</v>
      </c>
      <c r="Y360" s="18">
        <f t="shared" si="213"/>
        <v>-1.0135542553257428</v>
      </c>
      <c r="Z360" s="32" t="str">
        <f t="shared" si="203"/>
        <v>0.977409600949586+0.171256089824566i</v>
      </c>
      <c r="AA360" s="18">
        <f t="shared" si="214"/>
        <v>0.99229943884415694</v>
      </c>
      <c r="AB360" s="18">
        <f t="shared" si="215"/>
        <v>0.17345354210666861</v>
      </c>
      <c r="AC360" s="69" t="str">
        <f t="shared" si="216"/>
        <v>-1.25893015819311-0.567584890172692i</v>
      </c>
      <c r="AD360" s="67">
        <f t="shared" si="217"/>
        <v>2.8036384483249717</v>
      </c>
      <c r="AE360" s="64">
        <f t="shared" si="218"/>
        <v>-155.73191008843091</v>
      </c>
      <c r="AF360" s="32" t="str">
        <f t="shared" si="204"/>
        <v>-0.0000198412698412698</v>
      </c>
      <c r="AG360" s="32" t="str">
        <f t="shared" si="205"/>
        <v>0.00571815557541515i</v>
      </c>
      <c r="AH360" s="32">
        <f t="shared" si="219"/>
        <v>5.7181555754151504E-3</v>
      </c>
      <c r="AI360" s="32">
        <f t="shared" si="220"/>
        <v>1.5707963267948966</v>
      </c>
      <c r="AJ360" s="32" t="str">
        <f t="shared" si="206"/>
        <v>1+1.98478022585595i</v>
      </c>
      <c r="AK360" s="32">
        <f t="shared" si="221"/>
        <v>2.2224654204168837</v>
      </c>
      <c r="AL360" s="32">
        <f t="shared" si="222"/>
        <v>1.1040861277104208</v>
      </c>
      <c r="AM360" s="32" t="str">
        <f t="shared" si="207"/>
        <v>1+42.9208723841349i</v>
      </c>
      <c r="AN360" s="32">
        <f t="shared" si="223"/>
        <v>42.932520147496518</v>
      </c>
      <c r="AO360" s="32">
        <f t="shared" si="224"/>
        <v>1.5475018534903329</v>
      </c>
      <c r="AP360" s="61" t="str">
        <f t="shared" si="225"/>
        <v>-0.0287574155542148+0.060547022074237i</v>
      </c>
      <c r="AQ360" s="52">
        <f t="shared" si="226"/>
        <v>-23.474702673107373</v>
      </c>
      <c r="AR360" s="64">
        <f t="shared" si="227"/>
        <v>115.40584965691919</v>
      </c>
      <c r="AS360" s="61" t="str">
        <f t="shared" si="228"/>
        <v>0.070569152587182-0.0599021975290514i</v>
      </c>
      <c r="AT360" s="67">
        <f t="shared" si="229"/>
        <v>-20.671064224782405</v>
      </c>
      <c r="AU360" s="64">
        <f t="shared" si="230"/>
        <v>-40.326060431511706</v>
      </c>
    </row>
    <row r="361" spans="14:47" x14ac:dyDescent="0.25">
      <c r="N361" s="11">
        <v>43</v>
      </c>
      <c r="O361" s="53">
        <f t="shared" si="198"/>
        <v>26915.348039269167</v>
      </c>
      <c r="P361" s="51" t="str">
        <f t="shared" si="199"/>
        <v>122.692307692308</v>
      </c>
      <c r="Q361" s="18" t="str">
        <f t="shared" si="200"/>
        <v>1+173.34197232141i</v>
      </c>
      <c r="R361" s="18">
        <f t="shared" si="208"/>
        <v>173.3448567690327</v>
      </c>
      <c r="S361" s="18">
        <f t="shared" si="209"/>
        <v>1.5650274475485095</v>
      </c>
      <c r="T361" s="18" t="str">
        <f t="shared" si="201"/>
        <v>1+0.034668394464282i</v>
      </c>
      <c r="U361" s="18">
        <f t="shared" si="210"/>
        <v>1.0006007683260747</v>
      </c>
      <c r="V361" s="18">
        <f t="shared" si="211"/>
        <v>3.4654515185382199E-2</v>
      </c>
      <c r="W361" s="32" t="str">
        <f t="shared" si="202"/>
        <v>1-1.6422238861331i</v>
      </c>
      <c r="X361" s="18">
        <f t="shared" si="212"/>
        <v>1.9227322466183641</v>
      </c>
      <c r="Y361" s="18">
        <f t="shared" si="213"/>
        <v>-1.0238362400639802</v>
      </c>
      <c r="Z361" s="32" t="str">
        <f t="shared" si="203"/>
        <v>0.976344948242449+0.175245156602883i</v>
      </c>
      <c r="AA361" s="18">
        <f t="shared" si="214"/>
        <v>0.9919477420062609</v>
      </c>
      <c r="AB361" s="18">
        <f t="shared" si="215"/>
        <v>0.17759989385547073</v>
      </c>
      <c r="AC361" s="69" t="str">
        <f t="shared" si="216"/>
        <v>-1.25911273078891-0.546925751250992i</v>
      </c>
      <c r="AD361" s="67">
        <f t="shared" si="217"/>
        <v>2.7519444705812548</v>
      </c>
      <c r="AE361" s="64">
        <f t="shared" si="218"/>
        <v>-156.52112993356587</v>
      </c>
      <c r="AF361" s="32" t="str">
        <f t="shared" si="204"/>
        <v>-0.0000198412698412698</v>
      </c>
      <c r="AG361" s="32" t="str">
        <f t="shared" si="205"/>
        <v>0.00585134852909345i</v>
      </c>
      <c r="AH361" s="32">
        <f t="shared" si="219"/>
        <v>5.8513485290934497E-3</v>
      </c>
      <c r="AI361" s="32">
        <f t="shared" si="220"/>
        <v>1.5707963267948966</v>
      </c>
      <c r="AJ361" s="32" t="str">
        <f t="shared" si="206"/>
        <v>1+2.03101169633581i</v>
      </c>
      <c r="AK361" s="32">
        <f t="shared" si="221"/>
        <v>2.2638481642223409</v>
      </c>
      <c r="AL361" s="32">
        <f t="shared" si="222"/>
        <v>1.1132749850909811</v>
      </c>
      <c r="AM361" s="32" t="str">
        <f t="shared" si="207"/>
        <v>1+43.9206279332619i</v>
      </c>
      <c r="AN361" s="32">
        <f t="shared" si="223"/>
        <v>43.932010630655469</v>
      </c>
      <c r="AO361" s="32">
        <f t="shared" si="224"/>
        <v>1.5480319151368531</v>
      </c>
      <c r="AP361" s="61" t="str">
        <f t="shared" si="225"/>
        <v>-0.0277156639659448+0.0596817260847707i</v>
      </c>
      <c r="AQ361" s="52">
        <f t="shared" si="226"/>
        <v>-23.635054380767947</v>
      </c>
      <c r="AR361" s="64">
        <f t="shared" si="227"/>
        <v>114.90973720569299</v>
      </c>
      <c r="AS361" s="61" t="str">
        <f t="shared" si="228"/>
        <v>0.0675386182166577-0.0599876107727969i</v>
      </c>
      <c r="AT361" s="67">
        <f t="shared" si="229"/>
        <v>-20.883109910186697</v>
      </c>
      <c r="AU361" s="64">
        <f t="shared" si="230"/>
        <v>-41.611392727872847</v>
      </c>
    </row>
    <row r="362" spans="14:47" x14ac:dyDescent="0.25">
      <c r="N362" s="11">
        <v>44</v>
      </c>
      <c r="O362" s="53">
        <f t="shared" si="198"/>
        <v>27542.287033381719</v>
      </c>
      <c r="P362" s="51" t="str">
        <f t="shared" si="199"/>
        <v>122.692307692308</v>
      </c>
      <c r="Q362" s="18" t="str">
        <f t="shared" si="200"/>
        <v>1+177.379625544624i</v>
      </c>
      <c r="R362" s="18">
        <f t="shared" si="208"/>
        <v>177.38244433525833</v>
      </c>
      <c r="S362" s="18">
        <f t="shared" si="209"/>
        <v>1.5651587604574111</v>
      </c>
      <c r="T362" s="18" t="str">
        <f t="shared" si="201"/>
        <v>1+0.0354759251089248i</v>
      </c>
      <c r="U362" s="18">
        <f t="shared" si="210"/>
        <v>1.0006290727648952</v>
      </c>
      <c r="V362" s="18">
        <f t="shared" si="211"/>
        <v>3.5461053698557746E-2</v>
      </c>
      <c r="W362" s="32" t="str">
        <f t="shared" si="202"/>
        <v>1-1.68047619443607i</v>
      </c>
      <c r="X362" s="18">
        <f t="shared" si="212"/>
        <v>1.9555051112350321</v>
      </c>
      <c r="Y362" s="18">
        <f t="shared" si="213"/>
        <v>-1.03401013794499</v>
      </c>
      <c r="Z362" s="32" t="str">
        <f t="shared" si="203"/>
        <v>0.975230119999047+0.179327140682873i</v>
      </c>
      <c r="AA362" s="18">
        <f t="shared" si="214"/>
        <v>0.99158056169877118</v>
      </c>
      <c r="AB362" s="18">
        <f t="shared" si="215"/>
        <v>0.18185042451325481</v>
      </c>
      <c r="AC362" s="69" t="str">
        <f t="shared" si="216"/>
        <v>-1.25928285680816-0.526539574861504i</v>
      </c>
      <c r="AD362" s="67">
        <f t="shared" si="217"/>
        <v>2.7022153541818557</v>
      </c>
      <c r="AE362" s="64">
        <f t="shared" si="218"/>
        <v>-157.30890123338278</v>
      </c>
      <c r="AF362" s="32" t="str">
        <f t="shared" si="204"/>
        <v>-0.0000198412698412698</v>
      </c>
      <c r="AG362" s="32" t="str">
        <f t="shared" si="205"/>
        <v>0.00598764394521363i</v>
      </c>
      <c r="AH362" s="32">
        <f t="shared" si="219"/>
        <v>5.9876439452136304E-3</v>
      </c>
      <c r="AI362" s="32">
        <f t="shared" si="220"/>
        <v>1.5707963267948966</v>
      </c>
      <c r="AJ362" s="32" t="str">
        <f t="shared" si="206"/>
        <v>1+2.07832003610068i</v>
      </c>
      <c r="AK362" s="32">
        <f t="shared" si="221"/>
        <v>2.3063855212122562</v>
      </c>
      <c r="AL362" s="32">
        <f t="shared" si="222"/>
        <v>1.1223357414216331</v>
      </c>
      <c r="AM362" s="32" t="str">
        <f t="shared" si="207"/>
        <v>1+44.9436707806773i</v>
      </c>
      <c r="AN362" s="32">
        <f t="shared" si="223"/>
        <v>44.9547944411039</v>
      </c>
      <c r="AO362" s="32">
        <f t="shared" si="224"/>
        <v>1.5485499234704092</v>
      </c>
      <c r="AP362" s="61" t="str">
        <f t="shared" si="225"/>
        <v>-0.0267027550588787+0.0588105732128082i</v>
      </c>
      <c r="AQ362" s="52">
        <f t="shared" si="226"/>
        <v>-23.796847809037445</v>
      </c>
      <c r="AR362" s="64">
        <f t="shared" si="227"/>
        <v>114.42027380001547</v>
      </c>
      <c r="AS362" s="61" t="str">
        <f t="shared" si="228"/>
        <v>0.0645924158920267-0.0599990893496177i</v>
      </c>
      <c r="AT362" s="67">
        <f t="shared" si="229"/>
        <v>-21.094632454855589</v>
      </c>
      <c r="AU362" s="64">
        <f t="shared" si="230"/>
        <v>-42.888627433367319</v>
      </c>
    </row>
    <row r="363" spans="14:47" x14ac:dyDescent="0.25">
      <c r="N363" s="11">
        <v>45</v>
      </c>
      <c r="O363" s="53">
        <f t="shared" si="198"/>
        <v>28183.829312644593</v>
      </c>
      <c r="P363" s="51" t="str">
        <f t="shared" si="199"/>
        <v>122.692307692308</v>
      </c>
      <c r="Q363" s="18" t="str">
        <f t="shared" si="200"/>
        <v>1+181.511327793198i</v>
      </c>
      <c r="R363" s="18">
        <f t="shared" si="208"/>
        <v>181.51408242130907</v>
      </c>
      <c r="S363" s="18">
        <f t="shared" si="209"/>
        <v>1.5652870845074474</v>
      </c>
      <c r="T363" s="18" t="str">
        <f t="shared" si="201"/>
        <v>1+0.0363022655586396i</v>
      </c>
      <c r="U363" s="18">
        <f t="shared" si="210"/>
        <v>1.00065871029272</v>
      </c>
      <c r="V363" s="18">
        <f t="shared" si="211"/>
        <v>3.6286331121814362E-2</v>
      </c>
      <c r="W363" s="32" t="str">
        <f t="shared" si="202"/>
        <v>1-1.71961951346106i</v>
      </c>
      <c r="X363" s="18">
        <f t="shared" si="212"/>
        <v>1.9892438943166451</v>
      </c>
      <c r="Y363" s="18">
        <f t="shared" si="213"/>
        <v>-1.0440729181709965</v>
      </c>
      <c r="Z363" s="32" t="str">
        <f t="shared" si="203"/>
        <v>0.974062751519207+0.183504206386529i</v>
      </c>
      <c r="AA363" s="18">
        <f t="shared" si="214"/>
        <v>0.99119727484427544</v>
      </c>
      <c r="AB363" s="18">
        <f t="shared" si="215"/>
        <v>0.1862081049266236</v>
      </c>
      <c r="AC363" s="69" t="str">
        <f t="shared" si="216"/>
        <v>-1.25944044528252-0.506414371144608i</v>
      </c>
      <c r="AD363" s="67">
        <f t="shared" si="217"/>
        <v>2.6544184993191151</v>
      </c>
      <c r="AE363" s="64">
        <f t="shared" si="218"/>
        <v>-158.09520027985064</v>
      </c>
      <c r="AF363" s="32" t="str">
        <f t="shared" si="204"/>
        <v>-0.0000198412698412698</v>
      </c>
      <c r="AG363" s="32" t="str">
        <f t="shared" si="205"/>
        <v>0.0061271140894094i</v>
      </c>
      <c r="AH363" s="32">
        <f t="shared" si="219"/>
        <v>6.1271140894094004E-3</v>
      </c>
      <c r="AI363" s="32">
        <f t="shared" si="220"/>
        <v>1.5707963267948966</v>
      </c>
      <c r="AJ363" s="32" t="str">
        <f t="shared" si="206"/>
        <v>1+2.12673032865851i</v>
      </c>
      <c r="AK363" s="32">
        <f t="shared" si="221"/>
        <v>2.3501025277285104</v>
      </c>
      <c r="AL363" s="32">
        <f t="shared" si="222"/>
        <v>1.1312672489509845</v>
      </c>
      <c r="AM363" s="32" t="str">
        <f t="shared" si="207"/>
        <v>1+45.9905433572404i</v>
      </c>
      <c r="AN363" s="32">
        <f t="shared" si="223"/>
        <v>46.001413872773618</v>
      </c>
      <c r="AO363" s="32">
        <f t="shared" si="224"/>
        <v>1.5490561520332506</v>
      </c>
      <c r="AP363" s="61" t="str">
        <f t="shared" si="225"/>
        <v>-0.0257185369265013+0.0579346657706441i</v>
      </c>
      <c r="AQ363" s="52">
        <f t="shared" si="226"/>
        <v>-23.960042662017933</v>
      </c>
      <c r="AR363" s="64">
        <f t="shared" si="227"/>
        <v>113.93754087401416</v>
      </c>
      <c r="AS363" s="61" t="str">
        <f t="shared" si="228"/>
        <v>0.0617299129324415-0.0599410245510804i</v>
      </c>
      <c r="AT363" s="67">
        <f t="shared" si="229"/>
        <v>-21.305624162698823</v>
      </c>
      <c r="AU363" s="64">
        <f t="shared" si="230"/>
        <v>-44.157659405836448</v>
      </c>
    </row>
    <row r="364" spans="14:47" x14ac:dyDescent="0.25">
      <c r="N364" s="11">
        <v>46</v>
      </c>
      <c r="O364" s="53">
        <f t="shared" si="198"/>
        <v>28840.315031266062</v>
      </c>
      <c r="P364" s="51" t="str">
        <f t="shared" si="199"/>
        <v>122.692307692308</v>
      </c>
      <c r="Q364" s="18" t="str">
        <f t="shared" si="200"/>
        <v>1+185.739269750353i</v>
      </c>
      <c r="R364" s="18">
        <f t="shared" si="208"/>
        <v>185.74196167639232</v>
      </c>
      <c r="S364" s="18">
        <f t="shared" si="209"/>
        <v>1.5654124877208135</v>
      </c>
      <c r="T364" s="18" t="str">
        <f t="shared" si="201"/>
        <v>1+0.0371478539500706i</v>
      </c>
      <c r="U364" s="18">
        <f t="shared" si="210"/>
        <v>1.0006897436533941</v>
      </c>
      <c r="V364" s="18">
        <f t="shared" si="211"/>
        <v>3.7130780528939297E-2</v>
      </c>
      <c r="W364" s="32" t="str">
        <f t="shared" si="202"/>
        <v>1-1.75967459751393i</v>
      </c>
      <c r="X364" s="18">
        <f t="shared" si="212"/>
        <v>2.0239700316792764</v>
      </c>
      <c r="Y364" s="18">
        <f t="shared" si="213"/>
        <v>-1.054021763986299</v>
      </c>
      <c r="Z364" s="32" t="str">
        <f t="shared" si="203"/>
        <v>0.972840366657872+0.187778568449376i</v>
      </c>
      <c r="AA364" s="18">
        <f t="shared" si="214"/>
        <v>0.99079723948339704</v>
      </c>
      <c r="AB364" s="18">
        <f t="shared" si="215"/>
        <v>0.19067601409282353</v>
      </c>
      <c r="AC364" s="69" t="str">
        <f t="shared" si="216"/>
        <v>-1.25958533365265-0.486538206403175i</v>
      </c>
      <c r="AD364" s="67">
        <f t="shared" si="217"/>
        <v>2.6085209116582324</v>
      </c>
      <c r="AE364" s="64">
        <f t="shared" si="218"/>
        <v>-158.88002118238759</v>
      </c>
      <c r="AF364" s="32" t="str">
        <f t="shared" si="204"/>
        <v>-0.0000198412698412698</v>
      </c>
      <c r="AG364" s="32" t="str">
        <f t="shared" si="205"/>
        <v>0.0062698329105973i</v>
      </c>
      <c r="AH364" s="32">
        <f t="shared" si="219"/>
        <v>6.2698329105973002E-3</v>
      </c>
      <c r="AI364" s="32">
        <f t="shared" si="220"/>
        <v>1.5707963267948966</v>
      </c>
      <c r="AJ364" s="32" t="str">
        <f t="shared" si="206"/>
        <v>1+2.17626824178719i</v>
      </c>
      <c r="AK364" s="32">
        <f t="shared" si="221"/>
        <v>2.395024730605408</v>
      </c>
      <c r="AL364" s="32">
        <f t="shared" si="222"/>
        <v>1.1400685424211272</v>
      </c>
      <c r="AM364" s="32" t="str">
        <f t="shared" si="207"/>
        <v>1+47.061800728648i</v>
      </c>
      <c r="AN364" s="32">
        <f t="shared" si="223"/>
        <v>47.072423857530147</v>
      </c>
      <c r="AO364" s="32">
        <f t="shared" si="224"/>
        <v>1.5495508681960284</v>
      </c>
      <c r="AP364" s="61" t="str">
        <f t="shared" si="225"/>
        <v>-0.0247628070478251+0.0570550717368511i</v>
      </c>
      <c r="AQ364" s="52">
        <f t="shared" si="226"/>
        <v>-24.124598884109801</v>
      </c>
      <c r="AR364" s="64">
        <f t="shared" si="227"/>
        <v>113.46160905210293</v>
      </c>
      <c r="AS364" s="61" t="str">
        <f t="shared" si="228"/>
        <v>0.058950340846563-0.0598176798436807i</v>
      </c>
      <c r="AT364" s="67">
        <f t="shared" si="229"/>
        <v>-21.516077972451573</v>
      </c>
      <c r="AU364" s="64">
        <f t="shared" si="230"/>
        <v>-45.418412130284644</v>
      </c>
    </row>
    <row r="365" spans="14:47" x14ac:dyDescent="0.25">
      <c r="N365" s="11">
        <v>47</v>
      </c>
      <c r="O365" s="53">
        <f t="shared" si="198"/>
        <v>29512.092266663854</v>
      </c>
      <c r="P365" s="51" t="str">
        <f t="shared" si="199"/>
        <v>122.692307692308</v>
      </c>
      <c r="Q365" s="18" t="str">
        <f t="shared" si="200"/>
        <v>1+190.065693126882i</v>
      </c>
      <c r="R365" s="18">
        <f t="shared" si="208"/>
        <v>190.06832377806168</v>
      </c>
      <c r="S365" s="18">
        <f t="shared" si="209"/>
        <v>1.5655350365721674</v>
      </c>
      <c r="T365" s="18" t="str">
        <f t="shared" si="201"/>
        <v>1+0.0380131386253764i</v>
      </c>
      <c r="U365" s="18">
        <f t="shared" si="210"/>
        <v>1.0007222385398218</v>
      </c>
      <c r="V365" s="18">
        <f t="shared" si="211"/>
        <v>3.7994844838056319E-2</v>
      </c>
      <c r="W365" s="32" t="str">
        <f t="shared" si="202"/>
        <v>1-1.80066268433047i</v>
      </c>
      <c r="X365" s="18">
        <f t="shared" si="212"/>
        <v>2.0597053436693837</v>
      </c>
      <c r="Y365" s="18">
        <f t="shared" si="213"/>
        <v>-1.0638540719180518</v>
      </c>
      <c r="Z365" s="32" t="str">
        <f t="shared" si="203"/>
        <v>0.971560372572863+0.192152493194759i</v>
      </c>
      <c r="AA365" s="18">
        <f t="shared" si="214"/>
        <v>0.99037979492459471</v>
      </c>
      <c r="AB365" s="18">
        <f t="shared" si="215"/>
        <v>0.19525734445586965</v>
      </c>
      <c r="AC365" s="69" t="str">
        <f t="shared" si="216"/>
        <v>-1.25971728287978-0.466899191415242i</v>
      </c>
      <c r="AD365" s="67">
        <f t="shared" si="217"/>
        <v>2.5644893112163518</v>
      </c>
      <c r="AE365" s="64">
        <f t="shared" si="218"/>
        <v>-159.66337611793415</v>
      </c>
      <c r="AF365" s="32" t="str">
        <f t="shared" si="204"/>
        <v>-0.0000198412698412698</v>
      </c>
      <c r="AG365" s="32" t="str">
        <f t="shared" si="205"/>
        <v>0.00641587608018546i</v>
      </c>
      <c r="AH365" s="32">
        <f t="shared" si="219"/>
        <v>6.4158760801854599E-3</v>
      </c>
      <c r="AI365" s="32">
        <f t="shared" si="220"/>
        <v>1.5707963267948966</v>
      </c>
      <c r="AJ365" s="32" t="str">
        <f t="shared" si="206"/>
        <v>1+2.226960041144i</v>
      </c>
      <c r="AK365" s="32">
        <f t="shared" si="221"/>
        <v>2.4411782042391099</v>
      </c>
      <c r="AL365" s="32">
        <f t="shared" si="222"/>
        <v>1.1487388331941</v>
      </c>
      <c r="AM365" s="32" t="str">
        <f t="shared" si="207"/>
        <v>1+48.158010889739i</v>
      </c>
      <c r="AN365" s="32">
        <f t="shared" si="223"/>
        <v>48.168392259408243</v>
      </c>
      <c r="AO365" s="32">
        <f t="shared" si="224"/>
        <v>1.5500343332946143</v>
      </c>
      <c r="AP365" s="61" t="str">
        <f t="shared" si="225"/>
        <v>-0.0238353158106486+0.0561728228525888i</v>
      </c>
      <c r="AQ365" s="52">
        <f t="shared" si="226"/>
        <v>-24.290476729231628</v>
      </c>
      <c r="AR365" s="64">
        <f t="shared" si="227"/>
        <v>112.99253849335125</v>
      </c>
      <c r="AS365" s="61" t="str">
        <f t="shared" si="228"/>
        <v>0.0562528048389571-0.0596331860964316i</v>
      </c>
      <c r="AT365" s="67">
        <f t="shared" si="229"/>
        <v>-21.725987418015276</v>
      </c>
      <c r="AU365" s="64">
        <f t="shared" si="230"/>
        <v>-46.670837624582859</v>
      </c>
    </row>
    <row r="366" spans="14:47" x14ac:dyDescent="0.25">
      <c r="N366" s="11">
        <v>48</v>
      </c>
      <c r="O366" s="53">
        <f t="shared" si="198"/>
        <v>30199.517204020212</v>
      </c>
      <c r="P366" s="51" t="str">
        <f t="shared" si="199"/>
        <v>122.692307692308</v>
      </c>
      <c r="Q366" s="18" t="str">
        <f t="shared" si="200"/>
        <v>1+194.492891849722i</v>
      </c>
      <c r="R366" s="18">
        <f t="shared" si="208"/>
        <v>194.49546262077084</v>
      </c>
      <c r="S366" s="18">
        <f t="shared" si="209"/>
        <v>1.5656547960238001</v>
      </c>
      <c r="T366" s="18" t="str">
        <f t="shared" si="201"/>
        <v>1+0.0388985783699445i</v>
      </c>
      <c r="U366" s="18">
        <f t="shared" si="210"/>
        <v>1.000756263732185</v>
      </c>
      <c r="V366" s="18">
        <f t="shared" si="211"/>
        <v>3.8878977023620358E-2</v>
      </c>
      <c r="W366" s="32" t="str">
        <f t="shared" si="202"/>
        <v>1-1.84260550633682i</v>
      </c>
      <c r="X366" s="18">
        <f t="shared" si="212"/>
        <v>2.0964720489390669</v>
      </c>
      <c r="Y366" s="18">
        <f t="shared" si="213"/>
        <v>-1.0735674502442092</v>
      </c>
      <c r="Z366" s="32" t="str">
        <f t="shared" si="203"/>
        <v>0.970220054225113+0.196628299735472i</v>
      </c>
      <c r="AA366" s="18">
        <f t="shared" si="214"/>
        <v>0.98994426200541397</v>
      </c>
      <c r="AB366" s="18">
        <f t="shared" si="215"/>
        <v>0.19995540752133817</v>
      </c>
      <c r="AC366" s="69" t="str">
        <f t="shared" si="216"/>
        <v>-1.25983597192904-0.447485469451104i</v>
      </c>
      <c r="AD366" s="67">
        <f t="shared" si="217"/>
        <v>2.5222902373929519</v>
      </c>
      <c r="AE366" s="64">
        <f t="shared" si="218"/>
        <v>-160.44529555474526</v>
      </c>
      <c r="AF366" s="32" t="str">
        <f t="shared" si="204"/>
        <v>-0.0000198412698412698</v>
      </c>
      <c r="AG366" s="32" t="str">
        <f t="shared" si="205"/>
        <v>0.00656532103219551i</v>
      </c>
      <c r="AH366" s="32">
        <f t="shared" si="219"/>
        <v>6.56532103219551E-3</v>
      </c>
      <c r="AI366" s="32">
        <f t="shared" si="220"/>
        <v>1.5707963267948966</v>
      </c>
      <c r="AJ366" s="32" t="str">
        <f t="shared" si="206"/>
        <v>1+2.27883260419192i</v>
      </c>
      <c r="AK366" s="32">
        <f t="shared" si="221"/>
        <v>2.4885895679939125</v>
      </c>
      <c r="AL366" s="32">
        <f t="shared" si="222"/>
        <v>1.1572775030986155</v>
      </c>
      <c r="AM366" s="32" t="str">
        <f t="shared" si="207"/>
        <v>1+49.2797550656502i</v>
      </c>
      <c r="AN366" s="32">
        <f t="shared" si="223"/>
        <v>49.289900175700062</v>
      </c>
      <c r="AO366" s="32">
        <f t="shared" si="224"/>
        <v>1.5505068027640496</v>
      </c>
      <c r="AP366" s="61" t="str">
        <f t="shared" si="225"/>
        <v>-0.0229357700377662+0.0552889130303344i</v>
      </c>
      <c r="AQ366" s="52">
        <f t="shared" si="226"/>
        <v>-24.45763682505476</v>
      </c>
      <c r="AR366" s="64">
        <f t="shared" si="227"/>
        <v>112.53037925171432</v>
      </c>
      <c r="AS366" s="61" t="str">
        <f t="shared" si="228"/>
        <v>0.0536362933402906-0.0593915376618991i</v>
      </c>
      <c r="AT366" s="67">
        <f t="shared" si="229"/>
        <v>-21.935346587661808</v>
      </c>
      <c r="AU366" s="64">
        <f t="shared" si="230"/>
        <v>-47.914916303030914</v>
      </c>
    </row>
    <row r="367" spans="14:47" x14ac:dyDescent="0.25">
      <c r="N367" s="11">
        <v>49</v>
      </c>
      <c r="O367" s="53">
        <f t="shared" si="198"/>
        <v>30902.954325135954</v>
      </c>
      <c r="P367" s="51" t="str">
        <f t="shared" si="199"/>
        <v>122.692307692308</v>
      </c>
      <c r="Q367" s="18" t="str">
        <f t="shared" si="200"/>
        <v>1+199.023213278239i</v>
      </c>
      <c r="R367" s="18">
        <f t="shared" si="208"/>
        <v>199.02572553214173</v>
      </c>
      <c r="S367" s="18">
        <f t="shared" si="209"/>
        <v>1.5657718295600087</v>
      </c>
      <c r="T367" s="18" t="str">
        <f t="shared" si="201"/>
        <v>1+0.0398046426556479i</v>
      </c>
      <c r="U367" s="18">
        <f t="shared" si="210"/>
        <v>1.0007918912426017</v>
      </c>
      <c r="V367" s="18">
        <f t="shared" si="211"/>
        <v>3.9783640332128216E-2</v>
      </c>
      <c r="W367" s="32" t="str">
        <f t="shared" si="202"/>
        <v>1-1.8855253021724i</v>
      </c>
      <c r="X367" s="18">
        <f t="shared" si="212"/>
        <v>2.134292778681576</v>
      </c>
      <c r="Y367" s="18">
        <f t="shared" si="213"/>
        <v>-1.0831597167384557</v>
      </c>
      <c r="Z367" s="32" t="str">
        <f t="shared" si="203"/>
        <v>0.968816568619708+0.201208361203388i</v>
      </c>
      <c r="AA367" s="18">
        <f t="shared" si="214"/>
        <v>0.98948994348109398</v>
      </c>
      <c r="AB367" s="18">
        <f t="shared" si="215"/>
        <v>0.20477363981044019</v>
      </c>
      <c r="AC367" s="69" t="str">
        <f t="shared" si="216"/>
        <v>-1.25994099156405-0.428285203976253i</v>
      </c>
      <c r="AD367" s="67">
        <f t="shared" si="217"/>
        <v>2.4818901495938404</v>
      </c>
      <c r="AE367" s="64">
        <f t="shared" si="218"/>
        <v>-161.22582845393791</v>
      </c>
      <c r="AF367" s="32" t="str">
        <f t="shared" si="204"/>
        <v>-0.0000198412698412698</v>
      </c>
      <c r="AG367" s="32" t="str">
        <f t="shared" si="205"/>
        <v>0.00671824700431911i</v>
      </c>
      <c r="AH367" s="32">
        <f t="shared" si="219"/>
        <v>6.7182470043191103E-3</v>
      </c>
      <c r="AI367" s="32">
        <f t="shared" si="220"/>
        <v>1.5707963267948966</v>
      </c>
      <c r="AJ367" s="32" t="str">
        <f t="shared" si="206"/>
        <v>1+2.33191343445049i</v>
      </c>
      <c r="AK367" s="32">
        <f t="shared" si="221"/>
        <v>2.5372860039362295</v>
      </c>
      <c r="AL367" s="32">
        <f t="shared" si="222"/>
        <v>1.1656840980466279</v>
      </c>
      <c r="AM367" s="32" t="str">
        <f t="shared" si="207"/>
        <v>1+50.4276280199918i</v>
      </c>
      <c r="AN367" s="32">
        <f t="shared" si="223"/>
        <v>50.437542245064463</v>
      </c>
      <c r="AO367" s="32">
        <f t="shared" si="224"/>
        <v>1.5509685262696717</v>
      </c>
      <c r="AP367" s="61" t="str">
        <f t="shared" si="225"/>
        <v>-0.0220638364912254+0.054404297061865i</v>
      </c>
      <c r="AQ367" s="52">
        <f t="shared" si="226"/>
        <v>-24.626040232267098</v>
      </c>
      <c r="AR367" s="64">
        <f t="shared" si="227"/>
        <v>112.07517164929163</v>
      </c>
      <c r="AS367" s="61" t="str">
        <f t="shared" si="228"/>
        <v>0.0510996874907871-0.0590965892733281i</v>
      </c>
      <c r="AT367" s="67">
        <f t="shared" si="229"/>
        <v>-22.144150082673264</v>
      </c>
      <c r="AU367" s="64">
        <f t="shared" si="230"/>
        <v>-49.150656804646275</v>
      </c>
    </row>
    <row r="368" spans="14:47" x14ac:dyDescent="0.25">
      <c r="N368" s="11">
        <v>50</v>
      </c>
      <c r="O368" s="53">
        <f t="shared" si="198"/>
        <v>31622.77660168384</v>
      </c>
      <c r="P368" s="51" t="str">
        <f t="shared" si="199"/>
        <v>122.692307692308</v>
      </c>
      <c r="Q368" s="18" t="str">
        <f t="shared" si="200"/>
        <v>1+203.65905944882i</v>
      </c>
      <c r="R368" s="18">
        <f t="shared" si="208"/>
        <v>203.66151451753959</v>
      </c>
      <c r="S368" s="18">
        <f t="shared" si="209"/>
        <v>1.5658861992206923</v>
      </c>
      <c r="T368" s="18" t="str">
        <f t="shared" si="201"/>
        <v>1+0.0407318118897641i</v>
      </c>
      <c r="U368" s="18">
        <f t="shared" si="210"/>
        <v>1.0008291964665215</v>
      </c>
      <c r="V368" s="18">
        <f t="shared" si="211"/>
        <v>4.0709308501536902E-2</v>
      </c>
      <c r="W368" s="32" t="str">
        <f t="shared" si="202"/>
        <v>1-1.92944482848107i</v>
      </c>
      <c r="X368" s="18">
        <f t="shared" si="212"/>
        <v>2.1731905913086282</v>
      </c>
      <c r="Y368" s="18">
        <f t="shared" si="213"/>
        <v>-1.0926288957442096</v>
      </c>
      <c r="Z368" s="32" t="str">
        <f t="shared" si="203"/>
        <v>0.96734693877551+0.205895106007721i</v>
      </c>
      <c r="AA368" s="18">
        <f t="shared" si="214"/>
        <v>0.98901612455828092</v>
      </c>
      <c r="AB368" s="18">
        <f t="shared" si="215"/>
        <v>0.20971560917519522</v>
      </c>
      <c r="AC368" s="69" t="str">
        <f t="shared" si="216"/>
        <v>-1.26003183738612-0.409286566022691i</v>
      </c>
      <c r="AD368" s="67">
        <f t="shared" si="217"/>
        <v>2.4432555229305901</v>
      </c>
      <c r="AE368" s="64">
        <f t="shared" si="218"/>
        <v>-162.00504245302992</v>
      </c>
      <c r="AF368" s="32" t="str">
        <f t="shared" si="204"/>
        <v>-0.0000198412698412698</v>
      </c>
      <c r="AG368" s="32" t="str">
        <f t="shared" si="205"/>
        <v>0.00687473507993091i</v>
      </c>
      <c r="AH368" s="32">
        <f t="shared" si="219"/>
        <v>6.8747350799309099E-3</v>
      </c>
      <c r="AI368" s="32">
        <f t="shared" si="220"/>
        <v>1.5707963267948966</v>
      </c>
      <c r="AJ368" s="32" t="str">
        <f t="shared" si="206"/>
        <v>1+2.38623067607853i</v>
      </c>
      <c r="AK368" s="32">
        <f t="shared" si="221"/>
        <v>2.5872952748880826</v>
      </c>
      <c r="AL368" s="32">
        <f t="shared" si="222"/>
        <v>1.1739583214669567</v>
      </c>
      <c r="AM368" s="32" t="str">
        <f t="shared" si="207"/>
        <v>1+51.6022383701981i</v>
      </c>
      <c r="AN368" s="32">
        <f t="shared" si="223"/>
        <v>51.611926962813008</v>
      </c>
      <c r="AO368" s="32">
        <f t="shared" si="224"/>
        <v>1.5514197478354701</v>
      </c>
      <c r="AP368" s="61" t="str">
        <f t="shared" si="225"/>
        <v>-0.0212191453321369+0.053519889610741i</v>
      </c>
      <c r="AQ368" s="52">
        <f t="shared" si="226"/>
        <v>-24.795648498914321</v>
      </c>
      <c r="AR368" s="64">
        <f t="shared" si="227"/>
        <v>111.62694665990406</v>
      </c>
      <c r="AS368" s="61" t="str">
        <f t="shared" si="228"/>
        <v>0.0486417705133092-0.0587520537159976i</v>
      </c>
      <c r="AT368" s="67">
        <f t="shared" si="229"/>
        <v>-22.352392975983733</v>
      </c>
      <c r="AU368" s="64">
        <f t="shared" si="230"/>
        <v>-50.378095793125894</v>
      </c>
    </row>
    <row r="369" spans="14:47" x14ac:dyDescent="0.25">
      <c r="N369" s="11">
        <v>51</v>
      </c>
      <c r="O369" s="53">
        <f t="shared" si="198"/>
        <v>32359.365692962871</v>
      </c>
      <c r="P369" s="51" t="str">
        <f t="shared" si="199"/>
        <v>122.692307692308</v>
      </c>
      <c r="Q369" s="18" t="str">
        <f t="shared" si="200"/>
        <v>1+208.402888348467i</v>
      </c>
      <c r="R369" s="18">
        <f t="shared" si="208"/>
        <v>208.40528753365064</v>
      </c>
      <c r="S369" s="18">
        <f t="shared" si="209"/>
        <v>1.565997965634184</v>
      </c>
      <c r="T369" s="18" t="str">
        <f t="shared" si="201"/>
        <v>1+0.0416805776696934i</v>
      </c>
      <c r="U369" s="18">
        <f t="shared" si="210"/>
        <v>1.0008682583411661</v>
      </c>
      <c r="V369" s="18">
        <f t="shared" si="211"/>
        <v>4.1656465984388338E-2</v>
      </c>
      <c r="W369" s="32" t="str">
        <f t="shared" si="202"/>
        <v>1-1.97438737197702i</v>
      </c>
      <c r="X369" s="18">
        <f t="shared" si="212"/>
        <v>2.213188987552198</v>
      </c>
      <c r="Y369" s="18">
        <f t="shared" si="213"/>
        <v>-1.1019732146316823</v>
      </c>
      <c r="Z369" s="32" t="str">
        <f t="shared" si="203"/>
        <v>0.965808047410583+0.210691019122604i</v>
      </c>
      <c r="AA369" s="18">
        <f t="shared" si="214"/>
        <v>0.98852207359368771</v>
      </c>
      <c r="AB369" s="18">
        <f t="shared" si="215"/>
        <v>0.21478502149785944</v>
      </c>
      <c r="AC369" s="69" t="str">
        <f t="shared" si="216"/>
        <v>-1.2601079020434-0.390477721211632i</v>
      </c>
      <c r="AD369" s="67">
        <f t="shared" si="217"/>
        <v>2.4063529385056031</v>
      </c>
      <c r="AE369" s="64">
        <f t="shared" si="218"/>
        <v>-162.78302403588933</v>
      </c>
      <c r="AF369" s="32" t="str">
        <f t="shared" si="204"/>
        <v>-0.0000198412698412698</v>
      </c>
      <c r="AG369" s="32" t="str">
        <f t="shared" si="205"/>
        <v>0.00703486823107997i</v>
      </c>
      <c r="AH369" s="32">
        <f t="shared" si="219"/>
        <v>7.0348682310799699E-3</v>
      </c>
      <c r="AI369" s="32">
        <f t="shared" si="220"/>
        <v>1.5707963267948966</v>
      </c>
      <c r="AJ369" s="32" t="str">
        <f t="shared" si="206"/>
        <v>1+2.44181312879652i</v>
      </c>
      <c r="AK369" s="32">
        <f t="shared" si="221"/>
        <v>2.6386457427936492</v>
      </c>
      <c r="AL369" s="32">
        <f t="shared" si="222"/>
        <v>1.182100027600743</v>
      </c>
      <c r="AM369" s="32" t="str">
        <f t="shared" si="207"/>
        <v>1+52.8042089102247i</v>
      </c>
      <c r="AN369" s="32">
        <f t="shared" si="223"/>
        <v>52.813677003543823</v>
      </c>
      <c r="AO369" s="32">
        <f t="shared" si="224"/>
        <v>1.5518607059697169</v>
      </c>
      <c r="AP369" s="61" t="str">
        <f t="shared" si="225"/>
        <v>-0.020401293515998+0.0526365644732906i</v>
      </c>
      <c r="AQ369" s="52">
        <f t="shared" si="226"/>
        <v>-24.966423709895473</v>
      </c>
      <c r="AR369" s="64">
        <f t="shared" si="227"/>
        <v>111.18572630043647</v>
      </c>
      <c r="AS369" s="61" t="str">
        <f t="shared" si="228"/>
        <v>0.0462612369193555-0.0583615002273138i</v>
      </c>
      <c r="AT369" s="67">
        <f t="shared" si="229"/>
        <v>-22.560070771389871</v>
      </c>
      <c r="AU369" s="64">
        <f t="shared" si="230"/>
        <v>-51.597297735452855</v>
      </c>
    </row>
    <row r="370" spans="14:47" x14ac:dyDescent="0.25">
      <c r="N370" s="11">
        <v>52</v>
      </c>
      <c r="O370" s="53">
        <f t="shared" si="198"/>
        <v>33113.11214825909</v>
      </c>
      <c r="P370" s="51" t="str">
        <f t="shared" si="199"/>
        <v>122.692307692308</v>
      </c>
      <c r="Q370" s="18" t="str">
        <f t="shared" si="200"/>
        <v>1+213.257215218054i</v>
      </c>
      <c r="R370" s="18">
        <f t="shared" si="208"/>
        <v>213.25955979172284</v>
      </c>
      <c r="S370" s="18">
        <f t="shared" si="209"/>
        <v>1.5661071880493398</v>
      </c>
      <c r="T370" s="18" t="str">
        <f t="shared" si="201"/>
        <v>1+0.0426514430436109i</v>
      </c>
      <c r="U370" s="18">
        <f t="shared" si="210"/>
        <v>1.0009091595113426</v>
      </c>
      <c r="V370" s="18">
        <f t="shared" si="211"/>
        <v>4.2625608174627391E-2</v>
      </c>
      <c r="W370" s="32" t="str">
        <f t="shared" si="202"/>
        <v>1-2.02037676179169i</v>
      </c>
      <c r="X370" s="18">
        <f t="shared" si="212"/>
        <v>2.254311925973838</v>
      </c>
      <c r="Y370" s="18">
        <f t="shared" si="213"/>
        <v>-1.1111910996929522</v>
      </c>
      <c r="Z370" s="32" t="str">
        <f t="shared" si="203"/>
        <v>0.964196630330019+0.215598643404651i</v>
      </c>
      <c r="AA370" s="18">
        <f t="shared" si="214"/>
        <v>0.98800704297980035</v>
      </c>
      <c r="AB370" s="18">
        <f t="shared" si="215"/>
        <v>0.21998572779908065</v>
      </c>
      <c r="AC370" s="69" t="str">
        <f t="shared" si="216"/>
        <v>-1.26016846652821-0.371846816412309i</v>
      </c>
      <c r="AD370" s="67">
        <f t="shared" si="217"/>
        <v>2.3711491678299126</v>
      </c>
      <c r="AE370" s="64">
        <f t="shared" si="218"/>
        <v>-163.55987869365171</v>
      </c>
      <c r="AF370" s="32" t="str">
        <f t="shared" si="204"/>
        <v>-0.0000198412698412698</v>
      </c>
      <c r="AG370" s="32" t="str">
        <f t="shared" si="205"/>
        <v>0.00719873136248263i</v>
      </c>
      <c r="AH370" s="32">
        <f t="shared" si="219"/>
        <v>7.1987313624826297E-3</v>
      </c>
      <c r="AI370" s="32">
        <f t="shared" si="220"/>
        <v>1.5707963267948966</v>
      </c>
      <c r="AJ370" s="32" t="str">
        <f t="shared" si="206"/>
        <v>1+2.49869026315662i</v>
      </c>
      <c r="AK370" s="32">
        <f t="shared" si="221"/>
        <v>2.6913663873939013</v>
      </c>
      <c r="AL370" s="32">
        <f t="shared" si="222"/>
        <v>1.1901092147008379</v>
      </c>
      <c r="AM370" s="32" t="str">
        <f t="shared" si="207"/>
        <v>1+54.0341769407618i</v>
      </c>
      <c r="AN370" s="32">
        <f t="shared" si="223"/>
        <v>54.04342955129286</v>
      </c>
      <c r="AO370" s="32">
        <f t="shared" si="224"/>
        <v>1.5522916337879251</v>
      </c>
      <c r="AP370" s="61" t="str">
        <f t="shared" si="225"/>
        <v>-0.0196098481058905+0.0517551540911525i</v>
      </c>
      <c r="AQ370" s="52">
        <f t="shared" si="226"/>
        <v>-25.138328531717882</v>
      </c>
      <c r="AR370" s="64">
        <f t="shared" si="227"/>
        <v>110.75152402752849</v>
      </c>
      <c r="AS370" s="61" t="str">
        <f t="shared" si="228"/>
        <v>0.0439567014981747-0.0579283535774745i</v>
      </c>
      <c r="AT370" s="67">
        <f t="shared" si="229"/>
        <v>-22.767179363887973</v>
      </c>
      <c r="AU370" s="64">
        <f t="shared" si="230"/>
        <v>-52.808354666123222</v>
      </c>
    </row>
    <row r="371" spans="14:47" x14ac:dyDescent="0.25">
      <c r="N371" s="11">
        <v>53</v>
      </c>
      <c r="O371" s="53">
        <f t="shared" si="198"/>
        <v>33884.41561392029</v>
      </c>
      <c r="P371" s="51" t="str">
        <f t="shared" si="199"/>
        <v>122.692307692308</v>
      </c>
      <c r="Q371" s="18" t="str">
        <f t="shared" si="200"/>
        <v>1+218.224613885945i</v>
      </c>
      <c r="R371" s="18">
        <f t="shared" si="208"/>
        <v>218.22690509116831</v>
      </c>
      <c r="S371" s="18">
        <f t="shared" si="209"/>
        <v>1.5662139243669002</v>
      </c>
      <c r="T371" s="18" t="str">
        <f t="shared" si="201"/>
        <v>1+0.043644922777189i</v>
      </c>
      <c r="U371" s="18">
        <f t="shared" si="210"/>
        <v>1.0009519865029626</v>
      </c>
      <c r="V371" s="18">
        <f t="shared" si="211"/>
        <v>4.3617241638091934E-2</v>
      </c>
      <c r="W371" s="32" t="str">
        <f t="shared" si="202"/>
        <v>1-2.06743738210833i</v>
      </c>
      <c r="X371" s="18">
        <f t="shared" si="212"/>
        <v>2.2965838388656628</v>
      </c>
      <c r="Y371" s="18">
        <f t="shared" si="213"/>
        <v>-1.1202811715304943</v>
      </c>
      <c r="Z371" s="32" t="str">
        <f t="shared" si="203"/>
        <v>0.962509269502142+0.220620580941218i</v>
      </c>
      <c r="AA371" s="18">
        <f t="shared" si="214"/>
        <v>0.98747027024229328</v>
      </c>
      <c r="AB371" s="18">
        <f t="shared" si="215"/>
        <v>0.22532173178066661</v>
      </c>
      <c r="AC371" s="69" t="str">
        <f t="shared" si="216"/>
        <v>-1.26021269047092-0.353381966023266i</v>
      </c>
      <c r="AD371" s="67">
        <f t="shared" si="217"/>
        <v>2.337611250941054</v>
      </c>
      <c r="AE371" s="64">
        <f t="shared" si="218"/>
        <v>-164.33573108126006</v>
      </c>
      <c r="AF371" s="32" t="str">
        <f t="shared" si="204"/>
        <v>-0.0000198412698412698</v>
      </c>
      <c r="AG371" s="32" t="str">
        <f t="shared" si="205"/>
        <v>0.00736641135654017i</v>
      </c>
      <c r="AH371" s="32">
        <f t="shared" si="219"/>
        <v>7.3664113565401696E-3</v>
      </c>
      <c r="AI371" s="32">
        <f t="shared" si="220"/>
        <v>1.5707963267948966</v>
      </c>
      <c r="AJ371" s="32" t="str">
        <f t="shared" si="206"/>
        <v>1+2.55689223616833i</v>
      </c>
      <c r="AK371" s="32">
        <f t="shared" si="221"/>
        <v>2.7454868252056652</v>
      </c>
      <c r="AL371" s="32">
        <f t="shared" si="222"/>
        <v>1.1979860181743995</v>
      </c>
      <c r="AM371" s="32" t="str">
        <f t="shared" si="207"/>
        <v>1+55.2927946071402i</v>
      </c>
      <c r="AN371" s="32">
        <f t="shared" si="223"/>
        <v>55.301836637379353</v>
      </c>
      <c r="AO371" s="32">
        <f t="shared" si="224"/>
        <v>1.5527127591331784</v>
      </c>
      <c r="AP371" s="61" t="str">
        <f t="shared" si="225"/>
        <v>-0.0188443494883006+0.050876449297787i</v>
      </c>
      <c r="AQ371" s="52">
        <f t="shared" si="226"/>
        <v>-25.311326252638665</v>
      </c>
      <c r="AR371" s="64">
        <f t="shared" si="227"/>
        <v>110.32434513736847</v>
      </c>
      <c r="AS371" s="61" t="str">
        <f t="shared" si="228"/>
        <v>0.0417267080459606-0.0574558937805663i</v>
      </c>
      <c r="AT371" s="67">
        <f t="shared" si="229"/>
        <v>-22.973715001697613</v>
      </c>
      <c r="AU371" s="64">
        <f t="shared" si="230"/>
        <v>-54.01138594389159</v>
      </c>
    </row>
    <row r="372" spans="14:47" x14ac:dyDescent="0.25">
      <c r="N372" s="11">
        <v>54</v>
      </c>
      <c r="O372" s="53">
        <f t="shared" si="198"/>
        <v>34673.685045253202</v>
      </c>
      <c r="P372" s="51" t="str">
        <f t="shared" si="199"/>
        <v>122.692307692308</v>
      </c>
      <c r="Q372" s="18" t="str">
        <f t="shared" si="200"/>
        <v>1+223.30771813266i</v>
      </c>
      <c r="R372" s="18">
        <f t="shared" si="208"/>
        <v>223.30995718421408</v>
      </c>
      <c r="S372" s="18">
        <f t="shared" si="209"/>
        <v>1.56631823117014</v>
      </c>
      <c r="T372" s="18" t="str">
        <f t="shared" si="201"/>
        <v>1+0.044661543626532i</v>
      </c>
      <c r="U372" s="18">
        <f t="shared" si="210"/>
        <v>1.000996829904623</v>
      </c>
      <c r="V372" s="18">
        <f t="shared" si="211"/>
        <v>4.4631884346647763E-2</v>
      </c>
      <c r="W372" s="32" t="str">
        <f t="shared" si="202"/>
        <v>1-2.11559418509071i</v>
      </c>
      <c r="X372" s="18">
        <f t="shared" si="212"/>
        <v>2.3400296485279042</v>
      </c>
      <c r="Y372" s="18">
        <f t="shared" si="213"/>
        <v>-1.1292422399944058</v>
      </c>
      <c r="Z372" s="32" t="str">
        <f t="shared" si="203"/>
        <v>0.960742385808411+0.225759494430056i</v>
      </c>
      <c r="AA372" s="18">
        <f t="shared" si="214"/>
        <v>0.98691097937663652</v>
      </c>
      <c r="AB372" s="18">
        <f t="shared" si="215"/>
        <v>0.23079719783023392</v>
      </c>
      <c r="AC372" s="69" t="str">
        <f t="shared" si="216"/>
        <v>-1.26023960132988-0.335071237865036i</v>
      </c>
      <c r="AD372" s="67">
        <f t="shared" si="217"/>
        <v>2.3057065678159669</v>
      </c>
      <c r="AE372" s="64">
        <f t="shared" si="218"/>
        <v>-165.11072517436347</v>
      </c>
      <c r="AF372" s="32" t="str">
        <f t="shared" si="204"/>
        <v>-0.0000198412698412698</v>
      </c>
      <c r="AG372" s="32" t="str">
        <f t="shared" si="205"/>
        <v>0.00753799711940492i</v>
      </c>
      <c r="AH372" s="32">
        <f t="shared" si="219"/>
        <v>7.5379971194049203E-3</v>
      </c>
      <c r="AI372" s="32">
        <f t="shared" si="220"/>
        <v>1.5707963267948966</v>
      </c>
      <c r="AJ372" s="32" t="str">
        <f t="shared" si="206"/>
        <v>1+2.61644990728811i</v>
      </c>
      <c r="AK372" s="32">
        <f t="shared" si="221"/>
        <v>2.8010373288030208</v>
      </c>
      <c r="AL372" s="32">
        <f t="shared" si="222"/>
        <v>1.2057307037051064</v>
      </c>
      <c r="AM372" s="32" t="str">
        <f t="shared" si="207"/>
        <v>1+56.5807292451054i</v>
      </c>
      <c r="AN372" s="32">
        <f t="shared" si="223"/>
        <v>56.589565486120549</v>
      </c>
      <c r="AO372" s="32">
        <f t="shared" si="224"/>
        <v>1.553124304693885</v>
      </c>
      <c r="AP372" s="61" t="str">
        <f t="shared" si="225"/>
        <v>-0.0181043144786015+0.0500011992809828i</v>
      </c>
      <c r="AQ372" s="52">
        <f t="shared" si="226"/>
        <v>-25.485380818339507</v>
      </c>
      <c r="AR372" s="64">
        <f t="shared" si="227"/>
        <v>109.90418716650882</v>
      </c>
      <c r="AS372" s="61" t="str">
        <f t="shared" si="228"/>
        <v>0.0395697377986788-0.0569472563848388i</v>
      </c>
      <c r="AT372" s="67">
        <f t="shared" si="229"/>
        <v>-23.179674250523536</v>
      </c>
      <c r="AU372" s="64">
        <f t="shared" si="230"/>
        <v>-55.206538007854668</v>
      </c>
    </row>
    <row r="373" spans="14:47" x14ac:dyDescent="0.25">
      <c r="N373" s="11">
        <v>55</v>
      </c>
      <c r="O373" s="53">
        <f t="shared" si="198"/>
        <v>35481.33892335758</v>
      </c>
      <c r="P373" s="51" t="str">
        <f t="shared" si="199"/>
        <v>122.692307692308</v>
      </c>
      <c r="Q373" s="18" t="str">
        <f t="shared" si="200"/>
        <v>1+228.509223087357i</v>
      </c>
      <c r="R373" s="18">
        <f t="shared" si="208"/>
        <v>228.51141117236898</v>
      </c>
      <c r="S373" s="18">
        <f t="shared" si="209"/>
        <v>1.5664201637548227</v>
      </c>
      <c r="T373" s="18" t="str">
        <f t="shared" si="201"/>
        <v>1+0.0457018446174715i</v>
      </c>
      <c r="U373" s="18">
        <f t="shared" si="210"/>
        <v>1.0010437845576183</v>
      </c>
      <c r="V373" s="18">
        <f t="shared" si="211"/>
        <v>4.5670065915936281E-2</v>
      </c>
      <c r="W373" s="32" t="str">
        <f t="shared" si="202"/>
        <v>1-2.16487270411325i</v>
      </c>
      <c r="X373" s="18">
        <f t="shared" si="212"/>
        <v>2.3846747839096665</v>
      </c>
      <c r="Y373" s="18">
        <f t="shared" si="213"/>
        <v>-1.1380732987230138</v>
      </c>
      <c r="Z373" s="32" t="str">
        <f t="shared" si="203"/>
        <v>0.958892231451619+0.231018108591123i</v>
      </c>
      <c r="AA373" s="18">
        <f t="shared" si="214"/>
        <v>0.98632838245448728</v>
      </c>
      <c r="AB373" s="18">
        <f t="shared" si="215"/>
        <v>0.23641645951650744</v>
      </c>
      <c r="AC373" s="69" t="str">
        <f t="shared" si="216"/>
        <v>-1.26024808236555-0.316902638675994i</v>
      </c>
      <c r="AD373" s="67">
        <f t="shared" si="217"/>
        <v>2.2754029026862264</v>
      </c>
      <c r="AE373" s="64">
        <f t="shared" si="218"/>
        <v>-165.88502443135664</v>
      </c>
      <c r="AF373" s="32" t="str">
        <f t="shared" si="204"/>
        <v>-0.0000198412698412698</v>
      </c>
      <c r="AG373" s="32" t="str">
        <f t="shared" si="205"/>
        <v>0.00771357962811956i</v>
      </c>
      <c r="AH373" s="32">
        <f t="shared" si="219"/>
        <v>7.7135796281195598E-3</v>
      </c>
      <c r="AI373" s="32">
        <f t="shared" si="220"/>
        <v>1.5707963267948966</v>
      </c>
      <c r="AJ373" s="32" t="str">
        <f t="shared" si="206"/>
        <v>1+2.67739485478156i</v>
      </c>
      <c r="AK373" s="32">
        <f t="shared" si="221"/>
        <v>2.8580488464004197</v>
      </c>
      <c r="AL373" s="32">
        <f t="shared" si="222"/>
        <v>1.2133436603884853</v>
      </c>
      <c r="AM373" s="32" t="str">
        <f t="shared" si="207"/>
        <v>1+57.8986637346513i</v>
      </c>
      <c r="AN373" s="32">
        <f t="shared" si="223"/>
        <v>57.907298868607448</v>
      </c>
      <c r="AO373" s="32">
        <f t="shared" si="224"/>
        <v>1.5535264881190023</v>
      </c>
      <c r="AP373" s="61" t="str">
        <f t="shared" si="225"/>
        <v>-0.0173892393054289+0.0491301117432404i</v>
      </c>
      <c r="AQ373" s="52">
        <f t="shared" si="226"/>
        <v>-25.660456863299338</v>
      </c>
      <c r="AR373" s="64">
        <f t="shared" si="227"/>
        <v>109.49104029178449</v>
      </c>
      <c r="AS373" s="61" t="str">
        <f t="shared" si="228"/>
        <v>0.0374842175383417-0.0564054332903652i</v>
      </c>
      <c r="AT373" s="67">
        <f t="shared" si="229"/>
        <v>-23.38505396061311</v>
      </c>
      <c r="AU373" s="64">
        <f t="shared" si="230"/>
        <v>-56.393984139572183</v>
      </c>
    </row>
    <row r="374" spans="14:47" x14ac:dyDescent="0.25">
      <c r="N374" s="11">
        <v>56</v>
      </c>
      <c r="O374" s="53">
        <f t="shared" si="198"/>
        <v>36307.805477010232</v>
      </c>
      <c r="P374" s="51" t="str">
        <f t="shared" si="199"/>
        <v>122.692307692308</v>
      </c>
      <c r="Q374" s="18" t="str">
        <f t="shared" si="200"/>
        <v>1+233.831886656812i</v>
      </c>
      <c r="R374" s="18">
        <f t="shared" si="208"/>
        <v>233.83402493538912</v>
      </c>
      <c r="S374" s="18">
        <f t="shared" si="209"/>
        <v>1.5665197761584768</v>
      </c>
      <c r="T374" s="18" t="str">
        <f t="shared" si="201"/>
        <v>1+0.0467663773313625i</v>
      </c>
      <c r="U374" s="18">
        <f t="shared" si="210"/>
        <v>1.0010929497547665</v>
      </c>
      <c r="V374" s="18">
        <f t="shared" si="211"/>
        <v>4.673232784668159E-2</v>
      </c>
      <c r="W374" s="32" t="str">
        <f t="shared" si="202"/>
        <v>1-2.21529906729897i</v>
      </c>
      <c r="X374" s="18">
        <f t="shared" si="212"/>
        <v>2.4305451975998484</v>
      </c>
      <c r="Y374" s="18">
        <f t="shared" si="213"/>
        <v>-1.1467735193402167</v>
      </c>
      <c r="Z374" s="32" t="str">
        <f t="shared" si="203"/>
        <v>0.956954882006321+0.23639921161125i</v>
      </c>
      <c r="AA374" s="18">
        <f t="shared" si="214"/>
        <v>0.98572168153396733</v>
      </c>
      <c r="AB374" s="18">
        <f t="shared" si="215"/>
        <v>0.24218402860538746</v>
      </c>
      <c r="AC374" s="69" t="str">
        <f t="shared" si="216"/>
        <v>-1.26023685927531-0.298864099207516i</v>
      </c>
      <c r="AD374" s="67">
        <f t="shared" si="217"/>
        <v>2.2466685008748102</v>
      </c>
      <c r="AE374" s="64">
        <f t="shared" si="218"/>
        <v>-166.65881196534548</v>
      </c>
      <c r="AF374" s="32" t="str">
        <f t="shared" si="204"/>
        <v>-0.0000198412698412698</v>
      </c>
      <c r="AG374" s="32" t="str">
        <f t="shared" si="205"/>
        <v>0.00789325197885435i</v>
      </c>
      <c r="AH374" s="32">
        <f t="shared" si="219"/>
        <v>7.8932519788543504E-3</v>
      </c>
      <c r="AI374" s="32">
        <f t="shared" si="220"/>
        <v>1.5707963267948966</v>
      </c>
      <c r="AJ374" s="32" t="str">
        <f t="shared" si="206"/>
        <v>1+2.73975939246652i</v>
      </c>
      <c r="AK374" s="32">
        <f t="shared" si="221"/>
        <v>2.916553021737907</v>
      </c>
      <c r="AL374" s="32">
        <f t="shared" si="222"/>
        <v>1.2208253939108551</v>
      </c>
      <c r="AM374" s="32" t="str">
        <f t="shared" si="207"/>
        <v>1+59.2472968620885i</v>
      </c>
      <c r="AN374" s="32">
        <f t="shared" si="223"/>
        <v>59.255735464716338</v>
      </c>
      <c r="AO374" s="32">
        <f t="shared" si="224"/>
        <v>1.5539195221307767</v>
      </c>
      <c r="AP374" s="61" t="str">
        <f t="shared" si="225"/>
        <v>-0.016698602465265+0.0482638532419866i</v>
      </c>
      <c r="AQ374" s="52">
        <f t="shared" si="226"/>
        <v>-25.836519738041801</v>
      </c>
      <c r="AR374" s="64">
        <f t="shared" si="227"/>
        <v>109.08488772759097</v>
      </c>
      <c r="AS374" s="61" t="str">
        <f t="shared" si="228"/>
        <v>0.0354685273485626-0.0558332740423998i</v>
      </c>
      <c r="AT374" s="67">
        <f t="shared" si="229"/>
        <v>-23.589851237166997</v>
      </c>
      <c r="AU374" s="64">
        <f t="shared" si="230"/>
        <v>-57.573924237754476</v>
      </c>
    </row>
    <row r="375" spans="14:47" x14ac:dyDescent="0.25">
      <c r="N375" s="11">
        <v>57</v>
      </c>
      <c r="O375" s="53">
        <f t="shared" si="198"/>
        <v>37153.522909717351</v>
      </c>
      <c r="P375" s="51" t="str">
        <f t="shared" si="199"/>
        <v>122.692307692308</v>
      </c>
      <c r="Q375" s="18" t="str">
        <f t="shared" si="200"/>
        <v>1+239.278530987703i</v>
      </c>
      <c r="R375" s="18">
        <f t="shared" si="208"/>
        <v>239.28062059354735</v>
      </c>
      <c r="S375" s="18">
        <f t="shared" si="209"/>
        <v>1.5666171211890048</v>
      </c>
      <c r="T375" s="18" t="str">
        <f t="shared" si="201"/>
        <v>1+0.0478557061975407i</v>
      </c>
      <c r="U375" s="18">
        <f t="shared" si="210"/>
        <v>1.0011444294484515</v>
      </c>
      <c r="V375" s="18">
        <f t="shared" si="211"/>
        <v>4.7819223769510838E-2</v>
      </c>
      <c r="W375" s="32" t="str">
        <f t="shared" si="202"/>
        <v>1-2.26690001137313i</v>
      </c>
      <c r="X375" s="18">
        <f t="shared" si="212"/>
        <v>2.4776673831576943</v>
      </c>
      <c r="Y375" s="18">
        <f t="shared" si="213"/>
        <v>-1.1553422453615962</v>
      </c>
      <c r="Z375" s="32" t="str">
        <f t="shared" si="203"/>
        <v>0.9549262280946+0.241905656622488i</v>
      </c>
      <c r="AA375" s="18">
        <f t="shared" si="214"/>
        <v>0.98509007091176037</v>
      </c>
      <c r="AB375" s="18">
        <f t="shared" si="215"/>
        <v>0.24810460462846878</v>
      </c>
      <c r="AC375" s="69" t="str">
        <f t="shared" si="216"/>
        <v>-1.26020448535269-0.280943458919048i</v>
      </c>
      <c r="AD375" s="67">
        <f t="shared" si="217"/>
        <v>2.2194721177777481</v>
      </c>
      <c r="AE375" s="64">
        <f t="shared" si="218"/>
        <v>-167.43229073084106</v>
      </c>
      <c r="AF375" s="32" t="str">
        <f t="shared" si="204"/>
        <v>-0.0000198412698412698</v>
      </c>
      <c r="AG375" s="32" t="str">
        <f t="shared" si="205"/>
        <v>0.00807710943626785i</v>
      </c>
      <c r="AH375" s="32">
        <f t="shared" si="219"/>
        <v>8.0771094362678507E-3</v>
      </c>
      <c r="AI375" s="32">
        <f t="shared" si="220"/>
        <v>1.5707963267948966</v>
      </c>
      <c r="AJ375" s="32" t="str">
        <f t="shared" si="206"/>
        <v>1+2.80357658684636i</v>
      </c>
      <c r="AK375" s="32">
        <f t="shared" si="221"/>
        <v>2.976582214270771</v>
      </c>
      <c r="AL375" s="32">
        <f t="shared" si="222"/>
        <v>1.2281765197995806</v>
      </c>
      <c r="AM375" s="32" t="str">
        <f t="shared" si="207"/>
        <v>1+60.6273436905526i</v>
      </c>
      <c r="AN375" s="32">
        <f t="shared" si="223"/>
        <v>60.635590233561587</v>
      </c>
      <c r="AO375" s="32">
        <f t="shared" si="224"/>
        <v>1.5543036146350515</v>
      </c>
      <c r="AP375" s="61" t="str">
        <f t="shared" si="225"/>
        <v>-0.016031867440482+0.0474030496918344i</v>
      </c>
      <c r="AQ375" s="52">
        <f t="shared" si="226"/>
        <v>-26.013535532445871</v>
      </c>
      <c r="AR375" s="64">
        <f t="shared" si="227"/>
        <v>108.68570611893529</v>
      </c>
      <c r="AS375" s="61" t="str">
        <f t="shared" si="228"/>
        <v>0.0335210080008106-0.0552334875493855i</v>
      </c>
      <c r="AT375" s="67">
        <f t="shared" si="229"/>
        <v>-23.79406341466812</v>
      </c>
      <c r="AU375" s="64">
        <f t="shared" si="230"/>
        <v>-58.746584611905782</v>
      </c>
    </row>
    <row r="376" spans="14:47" x14ac:dyDescent="0.25">
      <c r="N376" s="11">
        <v>58</v>
      </c>
      <c r="O376" s="53">
        <f t="shared" si="198"/>
        <v>38018.939632056143</v>
      </c>
      <c r="P376" s="51" t="str">
        <f t="shared" si="199"/>
        <v>122.692307692308</v>
      </c>
      <c r="Q376" s="18" t="str">
        <f t="shared" si="200"/>
        <v>1+244.85204396295i</v>
      </c>
      <c r="R376" s="18">
        <f t="shared" si="208"/>
        <v>244.85408600395954</v>
      </c>
      <c r="S376" s="18">
        <f t="shared" si="209"/>
        <v>1.5667122504526467</v>
      </c>
      <c r="T376" s="18" t="str">
        <f t="shared" si="201"/>
        <v>1+0.0489704087925901i</v>
      </c>
      <c r="U376" s="18">
        <f t="shared" si="210"/>
        <v>1.0011983324683043</v>
      </c>
      <c r="V376" s="18">
        <f t="shared" si="211"/>
        <v>4.8931319693215777E-2</v>
      </c>
      <c r="W376" s="32" t="str">
        <f t="shared" si="202"/>
        <v>1-2.31970289583928i</v>
      </c>
      <c r="X376" s="18">
        <f t="shared" si="212"/>
        <v>2.5260683927726784</v>
      </c>
      <c r="Y376" s="18">
        <f t="shared" si="213"/>
        <v>-1.1637789858591907</v>
      </c>
      <c r="Z376" s="32" t="str">
        <f t="shared" si="203"/>
        <v>0.952801966669521+0.247540363214866i</v>
      </c>
      <c r="AA376" s="18">
        <f t="shared" si="214"/>
        <v>0.98443273975922529</v>
      </c>
      <c r="AB376" s="18">
        <f t="shared" si="215"/>
        <v>0.25418308503698112</v>
      </c>
      <c r="AC376" s="69" t="str">
        <f t="shared" si="216"/>
        <v>-1.26014932501977-0.263128450280132i</v>
      </c>
      <c r="AD376" s="67">
        <f t="shared" si="217"/>
        <v>2.1937830596058805</v>
      </c>
      <c r="AE376" s="64">
        <f t="shared" si="218"/>
        <v>-168.20568372993387</v>
      </c>
      <c r="AF376" s="32" t="str">
        <f t="shared" si="204"/>
        <v>-0.0000198412698412698</v>
      </c>
      <c r="AG376" s="32" t="str">
        <f t="shared" si="205"/>
        <v>0.00826524948401763i</v>
      </c>
      <c r="AH376" s="32">
        <f t="shared" si="219"/>
        <v>8.2652494840176303E-3</v>
      </c>
      <c r="AI376" s="32">
        <f t="shared" si="220"/>
        <v>1.5707963267948966</v>
      </c>
      <c r="AJ376" s="32" t="str">
        <f t="shared" si="206"/>
        <v>1+2.86888027464228i</v>
      </c>
      <c r="AK376" s="32">
        <f t="shared" si="221"/>
        <v>3.0381695196666634</v>
      </c>
      <c r="AL376" s="32">
        <f t="shared" si="222"/>
        <v>1.2353977567693901</v>
      </c>
      <c r="AM376" s="32" t="str">
        <f t="shared" si="207"/>
        <v>1+62.0395359391393i</v>
      </c>
      <c r="AN376" s="32">
        <f t="shared" si="223"/>
        <v>62.047594792576419</v>
      </c>
      <c r="AO376" s="32">
        <f t="shared" si="224"/>
        <v>1.554678968829184</v>
      </c>
      <c r="AP376" s="61" t="str">
        <f t="shared" si="225"/>
        <v>-0.015388485275907+0.0465482870115128i</v>
      </c>
      <c r="AQ376" s="52">
        <f t="shared" si="226"/>
        <v>-26.191471095316693</v>
      </c>
      <c r="AR376" s="64">
        <f t="shared" si="227"/>
        <v>108.2934659288476</v>
      </c>
      <c r="AS376" s="61" t="str">
        <f t="shared" si="228"/>
        <v>0.031639967958045-0.0546086441755763i</v>
      </c>
      <c r="AT376" s="67">
        <f t="shared" si="229"/>
        <v>-23.997688035710819</v>
      </c>
      <c r="AU376" s="64">
        <f t="shared" si="230"/>
        <v>-59.912217801086285</v>
      </c>
    </row>
    <row r="377" spans="14:47" x14ac:dyDescent="0.25">
      <c r="N377" s="11">
        <v>59</v>
      </c>
      <c r="O377" s="53">
        <f t="shared" si="198"/>
        <v>38904.514499428085</v>
      </c>
      <c r="P377" s="51" t="str">
        <f t="shared" si="199"/>
        <v>122.692307692308</v>
      </c>
      <c r="Q377" s="18" t="str">
        <f t="shared" si="200"/>
        <v>1+250.555380732906i</v>
      </c>
      <c r="R377" s="18">
        <f t="shared" si="208"/>
        <v>250.55737629176173</v>
      </c>
      <c r="S377" s="18">
        <f t="shared" si="209"/>
        <v>1.5668052143813065</v>
      </c>
      <c r="T377" s="18" t="str">
        <f t="shared" si="201"/>
        <v>1+0.0501110761465813i</v>
      </c>
      <c r="U377" s="18">
        <f t="shared" si="210"/>
        <v>1.0012547727489585</v>
      </c>
      <c r="V377" s="18">
        <f t="shared" si="211"/>
        <v>5.006919425637972E-2</v>
      </c>
      <c r="W377" s="32" t="str">
        <f t="shared" si="202"/>
        <v>1-2.37373571748571i</v>
      </c>
      <c r="X377" s="18">
        <f t="shared" si="212"/>
        <v>2.5757758552458321</v>
      </c>
      <c r="Y377" s="18">
        <f t="shared" si="213"/>
        <v>-1.172083408932812</v>
      </c>
      <c r="Z377" s="32" t="str">
        <f t="shared" si="203"/>
        <v>0.950577591887797+0.253306318984405i</v>
      </c>
      <c r="AA377" s="18">
        <f t="shared" si="214"/>
        <v>0.98374887518951315</v>
      </c>
      <c r="AB377" s="18">
        <f t="shared" si="215"/>
        <v>0.26042457597556168</v>
      </c>
      <c r="AC377" s="69" t="str">
        <f t="shared" si="216"/>
        <v>-1.26006953556666-0.24540668269383i</v>
      </c>
      <c r="AD377" s="67">
        <f t="shared" si="217"/>
        <v>2.1695712154944493</v>
      </c>
      <c r="AE377" s="64">
        <f t="shared" si="218"/>
        <v>-168.97923424266787</v>
      </c>
      <c r="AF377" s="32" t="str">
        <f t="shared" si="204"/>
        <v>-0.0000198412698412698</v>
      </c>
      <c r="AG377" s="32" t="str">
        <f t="shared" si="205"/>
        <v>0.00845777187644736i</v>
      </c>
      <c r="AH377" s="32">
        <f t="shared" si="219"/>
        <v>8.4577718764473602E-3</v>
      </c>
      <c r="AI377" s="32">
        <f t="shared" si="220"/>
        <v>1.5707963267948966</v>
      </c>
      <c r="AJ377" s="32" t="str">
        <f t="shared" si="206"/>
        <v>1+2.93570508073393i</v>
      </c>
      <c r="AK377" s="32">
        <f t="shared" si="221"/>
        <v>3.1013487906146597</v>
      </c>
      <c r="AL377" s="32">
        <f t="shared" si="222"/>
        <v>1.2424899201867836</v>
      </c>
      <c r="AM377" s="32" t="str">
        <f t="shared" si="207"/>
        <v>1+63.4846223708713i</v>
      </c>
      <c r="AN377" s="32">
        <f t="shared" si="223"/>
        <v>63.492497805426851</v>
      </c>
      <c r="AO377" s="32">
        <f t="shared" si="224"/>
        <v>1.5550457833076219</v>
      </c>
      <c r="AP377" s="61" t="str">
        <f t="shared" si="225"/>
        <v>-0.0147678970106217+0.0457001118986588i</v>
      </c>
      <c r="AQ377" s="52">
        <f t="shared" si="226"/>
        <v>-26.370294050418007</v>
      </c>
      <c r="AR377" s="64">
        <f t="shared" si="227"/>
        <v>107.90813181889268</v>
      </c>
      <c r="AS377" s="61" t="str">
        <f t="shared" si="228"/>
        <v>0.029823689987257-0.0539611781597466i</v>
      </c>
      <c r="AT377" s="67">
        <f t="shared" si="229"/>
        <v>-24.200722834923557</v>
      </c>
      <c r="AU377" s="64">
        <f t="shared" si="230"/>
        <v>-61.071102423775208</v>
      </c>
    </row>
    <row r="378" spans="14:47" x14ac:dyDescent="0.25">
      <c r="N378" s="11">
        <v>60</v>
      </c>
      <c r="O378" s="53">
        <f t="shared" si="198"/>
        <v>39810.717055349742</v>
      </c>
      <c r="P378" s="51" t="str">
        <f t="shared" si="199"/>
        <v>122.692307692308</v>
      </c>
      <c r="Q378" s="18" t="str">
        <f t="shared" si="200"/>
        <v>1+256.391565282218i</v>
      </c>
      <c r="R378" s="18">
        <f t="shared" si="208"/>
        <v>256.39351541695794</v>
      </c>
      <c r="S378" s="18">
        <f t="shared" si="209"/>
        <v>1.5668960622592583</v>
      </c>
      <c r="T378" s="18" t="str">
        <f t="shared" si="201"/>
        <v>1+0.0512783130564437i</v>
      </c>
      <c r="U378" s="18">
        <f t="shared" si="210"/>
        <v>1.0013138695683359</v>
      </c>
      <c r="V378" s="18">
        <f t="shared" si="211"/>
        <v>5.1233438982280291E-2</v>
      </c>
      <c r="W378" s="32" t="str">
        <f t="shared" si="202"/>
        <v>1-2.42902712522965i</v>
      </c>
      <c r="X378" s="18">
        <f t="shared" si="212"/>
        <v>2.6268179942853704</v>
      </c>
      <c r="Y378" s="18">
        <f t="shared" si="213"/>
        <v>-1.1802553350331935</v>
      </c>
      <c r="Z378" s="32" t="str">
        <f t="shared" si="203"/>
        <v>0.94824838555229+0.259206581117174i</v>
      </c>
      <c r="AA378" s="18">
        <f t="shared" si="214"/>
        <v>0.98303766580786633</v>
      </c>
      <c r="AB378" s="18">
        <f t="shared" si="215"/>
        <v>0.26683440371145645</v>
      </c>
      <c r="AC378" s="69" t="str">
        <f t="shared" si="216"/>
        <v>-1.25996304691394-0.227765626065216i</v>
      </c>
      <c r="AD378" s="67">
        <f t="shared" si="217"/>
        <v>2.1468070805614552</v>
      </c>
      <c r="AE378" s="64">
        <f t="shared" si="218"/>
        <v>-169.75320608625512</v>
      </c>
      <c r="AF378" s="32" t="str">
        <f t="shared" si="204"/>
        <v>-0.0000198412698412698</v>
      </c>
      <c r="AG378" s="32" t="str">
        <f t="shared" si="205"/>
        <v>0.00865477869147782i</v>
      </c>
      <c r="AH378" s="32">
        <f t="shared" si="219"/>
        <v>8.6547786914778196E-3</v>
      </c>
      <c r="AI378" s="32">
        <f t="shared" si="220"/>
        <v>1.5707963267948966</v>
      </c>
      <c r="AJ378" s="32" t="str">
        <f t="shared" si="206"/>
        <v>1+3.00408643651803i</v>
      </c>
      <c r="AK378" s="32">
        <f t="shared" si="221"/>
        <v>3.1661546579520712</v>
      </c>
      <c r="AL378" s="32">
        <f t="shared" si="222"/>
        <v>1.2494539156718933</v>
      </c>
      <c r="AM378" s="32" t="str">
        <f t="shared" si="207"/>
        <v>1+64.9633691897024i</v>
      </c>
      <c r="AN378" s="32">
        <f t="shared" si="223"/>
        <v>64.971065378963701</v>
      </c>
      <c r="AO378" s="32">
        <f t="shared" si="224"/>
        <v>1.5554042521651832</v>
      </c>
      <c r="AP378" s="61" t="str">
        <f t="shared" si="225"/>
        <v>-0.0141695359632076+0.0448590327163201i</v>
      </c>
      <c r="AQ378" s="52">
        <f t="shared" si="226"/>
        <v>-26.549972809172733</v>
      </c>
      <c r="AR378" s="64">
        <f t="shared" si="227"/>
        <v>107.52966302167286</v>
      </c>
      <c r="AS378" s="61" t="str">
        <f t="shared" si="228"/>
        <v>0.0280704373768723-0.0532933903131532i</v>
      </c>
      <c r="AT378" s="67">
        <f t="shared" si="229"/>
        <v>-24.403165728611285</v>
      </c>
      <c r="AU378" s="64">
        <f t="shared" si="230"/>
        <v>-62.223543064582294</v>
      </c>
    </row>
    <row r="379" spans="14:47" x14ac:dyDescent="0.25">
      <c r="N379" s="11">
        <v>61</v>
      </c>
      <c r="O379" s="53">
        <f t="shared" si="198"/>
        <v>40738.027780411358</v>
      </c>
      <c r="P379" s="51" t="str">
        <f t="shared" si="199"/>
        <v>122.692307692308</v>
      </c>
      <c r="Q379" s="18" t="str">
        <f t="shared" si="200"/>
        <v>1+262.363692033188i</v>
      </c>
      <c r="R379" s="18">
        <f t="shared" si="208"/>
        <v>262.36559777776796</v>
      </c>
      <c r="S379" s="18">
        <f t="shared" si="209"/>
        <v>1.5669848422492478</v>
      </c>
      <c r="T379" s="18" t="str">
        <f t="shared" si="201"/>
        <v>1+0.0524727384066376i</v>
      </c>
      <c r="U379" s="18">
        <f t="shared" si="210"/>
        <v>1.0013757477969454</v>
      </c>
      <c r="V379" s="18">
        <f t="shared" si="211"/>
        <v>5.242465853696382E-2</v>
      </c>
      <c r="W379" s="32" t="str">
        <f t="shared" si="202"/>
        <v>1-2.48560643530737i</v>
      </c>
      <c r="X379" s="18">
        <f t="shared" si="212"/>
        <v>2.6792236471114932</v>
      </c>
      <c r="Y379" s="18">
        <f t="shared" si="213"/>
        <v>-1.1882947301797298</v>
      </c>
      <c r="Z379" s="32" t="str">
        <f t="shared" si="203"/>
        <v>0.94580940710408+0.265244278010258i</v>
      </c>
      <c r="AA379" s="18">
        <f t="shared" si="214"/>
        <v>0.98229830580315791</v>
      </c>
      <c r="AB379" s="18">
        <f t="shared" si="215"/>
        <v>0.27341812675591892</v>
      </c>
      <c r="AC379" s="69" t="str">
        <f t="shared" si="216"/>
        <v>-1.25982753919581-0.210192594049742i</v>
      </c>
      <c r="AD379" s="67">
        <f t="shared" si="217"/>
        <v>2.1254617694689011</v>
      </c>
      <c r="AE379" s="64">
        <f t="shared" si="218"/>
        <v>-170.52788390769499</v>
      </c>
      <c r="AF379" s="32" t="str">
        <f t="shared" si="204"/>
        <v>-0.0000198412698412698</v>
      </c>
      <c r="AG379" s="32" t="str">
        <f t="shared" si="205"/>
        <v>0.00885637438473007i</v>
      </c>
      <c r="AH379" s="32">
        <f t="shared" si="219"/>
        <v>8.8563743847300692E-3</v>
      </c>
      <c r="AI379" s="32">
        <f t="shared" si="220"/>
        <v>1.5707963267948966</v>
      </c>
      <c r="AJ379" s="32" t="str">
        <f t="shared" si="206"/>
        <v>1+3.07406059869457i</v>
      </c>
      <c r="AK379" s="32">
        <f t="shared" si="221"/>
        <v>3.2326225521156067</v>
      </c>
      <c r="AL379" s="32">
        <f t="shared" si="222"/>
        <v>1.2562907328545758</v>
      </c>
      <c r="AM379" s="32" t="str">
        <f t="shared" si="207"/>
        <v>1+66.47656044677i</v>
      </c>
      <c r="AN379" s="32">
        <f t="shared" si="223"/>
        <v>66.484081469424424</v>
      </c>
      <c r="AO379" s="32">
        <f t="shared" si="224"/>
        <v>1.555754565098084</v>
      </c>
      <c r="AP379" s="61" t="str">
        <f t="shared" si="225"/>
        <v>-0.0135928298700073+0.0440255204757799i</v>
      </c>
      <c r="AQ379" s="52">
        <f t="shared" si="226"/>
        <v>-26.730476580238648</v>
      </c>
      <c r="AR379" s="64">
        <f t="shared" si="227"/>
        <v>107.15801370436668</v>
      </c>
      <c r="AS379" s="61" t="str">
        <f t="shared" si="228"/>
        <v>0.0263784597590328-0.0526074509519629i</v>
      </c>
      <c r="AT379" s="67">
        <f t="shared" si="229"/>
        <v>-24.605014810769745</v>
      </c>
      <c r="AU379" s="64">
        <f t="shared" si="230"/>
        <v>-63.369870203328325</v>
      </c>
    </row>
    <row r="380" spans="14:47" x14ac:dyDescent="0.25">
      <c r="N380" s="11">
        <v>62</v>
      </c>
      <c r="O380" s="53">
        <f t="shared" si="198"/>
        <v>41686.938347033625</v>
      </c>
      <c r="P380" s="51" t="str">
        <f t="shared" si="199"/>
        <v>122.692307692308</v>
      </c>
      <c r="Q380" s="18" t="str">
        <f t="shared" si="200"/>
        <v>1+268.474927486468i</v>
      </c>
      <c r="R380" s="18">
        <f t="shared" si="208"/>
        <v>268.47678985130955</v>
      </c>
      <c r="S380" s="18">
        <f t="shared" si="209"/>
        <v>1.5670716014179999</v>
      </c>
      <c r="T380" s="18" t="str">
        <f t="shared" si="201"/>
        <v>1+0.0536949854972936i</v>
      </c>
      <c r="U380" s="18">
        <f t="shared" si="210"/>
        <v>1.0014405381586839</v>
      </c>
      <c r="V380" s="18">
        <f t="shared" si="211"/>
        <v>5.3643470990370097E-2</v>
      </c>
      <c r="W380" s="32" t="str">
        <f t="shared" si="202"/>
        <v>1-2.54350364681798i</v>
      </c>
      <c r="X380" s="18">
        <f t="shared" si="212"/>
        <v>2.7330222833662301</v>
      </c>
      <c r="Y380" s="18">
        <f t="shared" si="213"/>
        <v>-1.1962016991127067</v>
      </c>
      <c r="Z380" s="32" t="str">
        <f t="shared" si="203"/>
        <v>0.943255483142877+0.271422610930465i</v>
      </c>
      <c r="AA380" s="18">
        <f t="shared" si="214"/>
        <v>0.98152999964515231</v>
      </c>
      <c r="AB380" s="18">
        <f t="shared" si="215"/>
        <v>0.28018154871544321</v>
      </c>
      <c r="AC380" s="69" t="str">
        <f t="shared" si="216"/>
        <v>-1.25966041794075-0.192674727029904i</v>
      </c>
      <c r="AD380" s="67">
        <f t="shared" si="217"/>
        <v>2.1055070199971793</v>
      </c>
      <c r="AE380" s="64">
        <f t="shared" si="218"/>
        <v>-171.30357351424792</v>
      </c>
      <c r="AF380" s="32" t="str">
        <f t="shared" si="204"/>
        <v>-0.0000198412698412698</v>
      </c>
      <c r="AG380" s="32" t="str">
        <f t="shared" si="205"/>
        <v>0.00906266584490905i</v>
      </c>
      <c r="AH380" s="32">
        <f t="shared" si="219"/>
        <v>9.06266584490905E-3</v>
      </c>
      <c r="AI380" s="32">
        <f t="shared" si="220"/>
        <v>1.5707963267948966</v>
      </c>
      <c r="AJ380" s="32" t="str">
        <f t="shared" si="206"/>
        <v>1+3.14566466849053i</v>
      </c>
      <c r="AK380" s="32">
        <f t="shared" si="221"/>
        <v>3.300788724924641</v>
      </c>
      <c r="AL380" s="32">
        <f t="shared" si="222"/>
        <v>1.2630014392990974</v>
      </c>
      <c r="AM380" s="32" t="str">
        <f t="shared" si="207"/>
        <v>1+68.0249984561078i</v>
      </c>
      <c r="AN380" s="32">
        <f t="shared" si="223"/>
        <v>68.032348298096167</v>
      </c>
      <c r="AO380" s="32">
        <f t="shared" si="224"/>
        <v>1.5560969075027595</v>
      </c>
      <c r="AP380" s="61" t="str">
        <f t="shared" si="225"/>
        <v>-0.0130372028771654+0.0432000099011404i</v>
      </c>
      <c r="AQ380" s="52">
        <f t="shared" si="226"/>
        <v>-26.911775376165963</v>
      </c>
      <c r="AR380" s="64">
        <f t="shared" si="227"/>
        <v>106.79313332248064</v>
      </c>
      <c r="AS380" s="61" t="str">
        <f t="shared" si="228"/>
        <v>0.0247459985404199-0.0519054030215237i</v>
      </c>
      <c r="AT380" s="67">
        <f t="shared" si="229"/>
        <v>-24.806268356168786</v>
      </c>
      <c r="AU380" s="64">
        <f t="shared" si="230"/>
        <v>-64.510440191767245</v>
      </c>
    </row>
    <row r="381" spans="14:47" x14ac:dyDescent="0.25">
      <c r="N381" s="11">
        <v>63</v>
      </c>
      <c r="O381" s="53">
        <f t="shared" si="198"/>
        <v>42657.951880159271</v>
      </c>
      <c r="P381" s="51" t="str">
        <f t="shared" si="199"/>
        <v>122.692307692308</v>
      </c>
      <c r="Q381" s="18" t="str">
        <f t="shared" si="200"/>
        <v>1+274.728511899986i</v>
      </c>
      <c r="R381" s="18">
        <f t="shared" si="208"/>
        <v>274.73033187251229</v>
      </c>
      <c r="S381" s="18">
        <f t="shared" si="209"/>
        <v>1.5671563857611466</v>
      </c>
      <c r="T381" s="18" t="str">
        <f t="shared" si="201"/>
        <v>1+0.0549457023799972i</v>
      </c>
      <c r="U381" s="18">
        <f t="shared" si="210"/>
        <v>1.0015083775036688</v>
      </c>
      <c r="V381" s="18">
        <f t="shared" si="211"/>
        <v>5.4890508080376627E-2</v>
      </c>
      <c r="W381" s="32" t="str">
        <f t="shared" si="202"/>
        <v>1-2.60274945762938i</v>
      </c>
      <c r="X381" s="18">
        <f t="shared" si="212"/>
        <v>2.7882440243260693</v>
      </c>
      <c r="Y381" s="18">
        <f t="shared" si="213"/>
        <v>-1.2039764784171179</v>
      </c>
      <c r="Z381" s="32" t="str">
        <f t="shared" si="203"/>
        <v>0.940581196453552+0.277744855711691i</v>
      </c>
      <c r="AA381" s="18">
        <f t="shared" si="214"/>
        <v>0.98073196745915414</v>
      </c>
      <c r="AB381" s="18">
        <f t="shared" si="215"/>
        <v>0.2871307319112098</v>
      </c>
      <c r="AC381" s="69" t="str">
        <f t="shared" si="216"/>
        <v>-1.25945878660425-0.175198974884824i</v>
      </c>
      <c r="AD381" s="67">
        <f t="shared" si="217"/>
        <v>2.0869151860911459</v>
      </c>
      <c r="AE381" s="64">
        <f t="shared" si="218"/>
        <v>-172.08060224609451</v>
      </c>
      <c r="AF381" s="32" t="str">
        <f t="shared" si="204"/>
        <v>-0.0000198412698412698</v>
      </c>
      <c r="AG381" s="32" t="str">
        <f t="shared" si="205"/>
        <v>0.00927376245047755i</v>
      </c>
      <c r="AH381" s="32">
        <f t="shared" si="219"/>
        <v>9.2737624504775507E-3</v>
      </c>
      <c r="AI381" s="32">
        <f t="shared" si="220"/>
        <v>1.5707963267948966</v>
      </c>
      <c r="AJ381" s="32" t="str">
        <f t="shared" si="206"/>
        <v>1+3.21893661133152i</v>
      </c>
      <c r="AK381" s="32">
        <f t="shared" si="221"/>
        <v>3.370690271705552</v>
      </c>
      <c r="AL381" s="32">
        <f t="shared" si="222"/>
        <v>1.2695871746095073</v>
      </c>
      <c r="AM381" s="32" t="str">
        <f t="shared" si="207"/>
        <v>1+69.6095042200442i</v>
      </c>
      <c r="AN381" s="32">
        <f t="shared" si="223"/>
        <v>69.616686776665503</v>
      </c>
      <c r="AO381" s="32">
        <f t="shared" si="224"/>
        <v>1.5564314605725247</v>
      </c>
      <c r="AP381" s="61" t="str">
        <f t="shared" si="225"/>
        <v>-0.0125020773882692+0.0423829005619719i</v>
      </c>
      <c r="AQ381" s="52">
        <f t="shared" si="226"/>
        <v>-27.093840017342814</v>
      </c>
      <c r="AR381" s="64">
        <f t="shared" si="227"/>
        <v>106.43496696312461</v>
      </c>
      <c r="AS381" s="61" t="str">
        <f t="shared" si="228"/>
        <v>0.0231712919485649-0.0511891653721942i</v>
      </c>
      <c r="AT381" s="67">
        <f t="shared" si="229"/>
        <v>-25.006924831251666</v>
      </c>
      <c r="AU381" s="64">
        <f t="shared" si="230"/>
        <v>-65.645635282969877</v>
      </c>
    </row>
    <row r="382" spans="14:47" x14ac:dyDescent="0.25">
      <c r="N382" s="11">
        <v>64</v>
      </c>
      <c r="O382" s="53">
        <f t="shared" si="198"/>
        <v>43651.583224016598</v>
      </c>
      <c r="P382" s="51" t="str">
        <f t="shared" si="199"/>
        <v>122.692307692308</v>
      </c>
      <c r="Q382" s="18" t="str">
        <f t="shared" si="200"/>
        <v>1+281.127761006975i</v>
      </c>
      <c r="R382" s="18">
        <f t="shared" si="208"/>
        <v>281.12953955213396</v>
      </c>
      <c r="S382" s="18">
        <f t="shared" si="209"/>
        <v>1.5672392402275903</v>
      </c>
      <c r="T382" s="18" t="str">
        <f t="shared" si="201"/>
        <v>1+0.056225552201395i</v>
      </c>
      <c r="U382" s="18">
        <f t="shared" si="210"/>
        <v>1.0015794090936334</v>
      </c>
      <c r="V382" s="18">
        <f t="shared" si="211"/>
        <v>5.6166415479609003E-2</v>
      </c>
      <c r="W382" s="32" t="str">
        <f t="shared" si="202"/>
        <v>1-2.66337528065468i</v>
      </c>
      <c r="X382" s="18">
        <f t="shared" si="212"/>
        <v>2.8449196624162161</v>
      </c>
      <c r="Y382" s="18">
        <f t="shared" si="213"/>
        <v>-1.2116194296521996</v>
      </c>
      <c r="Z382" s="32" t="str">
        <f t="shared" si="203"/>
        <v>0.937780874515486+0.284214364491802i</v>
      </c>
      <c r="AA382" s="18">
        <f t="shared" si="214"/>
        <v>0.97990345115756616</v>
      </c>
      <c r="AB382" s="18">
        <f t="shared" si="215"/>
        <v>0.29427201180539159</v>
      </c>
      <c r="AC382" s="69" t="str">
        <f t="shared" si="216"/>
        <v>-1.25921941618404-0.157752079636973i</v>
      </c>
      <c r="AD382" s="67">
        <f t="shared" si="217"/>
        <v>2.0696592197735746</v>
      </c>
      <c r="AE382" s="64">
        <f t="shared" si="218"/>
        <v>-172.85931939536275</v>
      </c>
      <c r="AF382" s="32" t="str">
        <f t="shared" si="204"/>
        <v>-0.0000198412698412698</v>
      </c>
      <c r="AG382" s="32" t="str">
        <f t="shared" si="205"/>
        <v>0.00948977612765007i</v>
      </c>
      <c r="AH382" s="32">
        <f t="shared" si="219"/>
        <v>9.4897761276500694E-3</v>
      </c>
      <c r="AI382" s="32">
        <f t="shared" si="220"/>
        <v>1.5707963267948966</v>
      </c>
      <c r="AJ382" s="32" t="str">
        <f t="shared" si="206"/>
        <v>1+3.2939152769715i</v>
      </c>
      <c r="AK382" s="32">
        <f t="shared" si="221"/>
        <v>3.4423651537665547</v>
      </c>
      <c r="AL382" s="32">
        <f t="shared" si="222"/>
        <v>1.2760491447256079</v>
      </c>
      <c r="AM382" s="32" t="str">
        <f t="shared" si="207"/>
        <v>1+71.2309178645087i</v>
      </c>
      <c r="AN382" s="32">
        <f t="shared" si="223"/>
        <v>71.23793694247739</v>
      </c>
      <c r="AO382" s="32">
        <f t="shared" si="224"/>
        <v>1.5567584013921127</v>
      </c>
      <c r="AP382" s="61" t="str">
        <f t="shared" si="225"/>
        <v>-0.0119868757703262+0.0415745580612523i</v>
      </c>
      <c r="AQ382" s="52">
        <f t="shared" si="226"/>
        <v>-27.276642133429316</v>
      </c>
      <c r="AR382" s="64">
        <f t="shared" si="227"/>
        <v>106.08345567724523</v>
      </c>
      <c r="AS382" s="61" t="str">
        <f t="shared" si="228"/>
        <v>0.0216525797035314-0.0504605361488806i</v>
      </c>
      <c r="AT382" s="67">
        <f t="shared" si="229"/>
        <v>-25.206982913655736</v>
      </c>
      <c r="AU382" s="64">
        <f t="shared" si="230"/>
        <v>-66.775863718117506</v>
      </c>
    </row>
    <row r="383" spans="14:47" x14ac:dyDescent="0.25">
      <c r="N383" s="11">
        <v>65</v>
      </c>
      <c r="O383" s="53">
        <f t="shared" si="198"/>
        <v>44668.359215096389</v>
      </c>
      <c r="P383" s="51" t="str">
        <f t="shared" si="199"/>
        <v>122.692307692308</v>
      </c>
      <c r="Q383" s="18" t="str">
        <f t="shared" si="200"/>
        <v>1+287.676067774017i</v>
      </c>
      <c r="R383" s="18">
        <f t="shared" si="208"/>
        <v>287.67780583479293</v>
      </c>
      <c r="S383" s="18">
        <f t="shared" si="209"/>
        <v>1.5673202087433129</v>
      </c>
      <c r="T383" s="18" t="str">
        <f t="shared" si="201"/>
        <v>1+0.0575352135548034i</v>
      </c>
      <c r="U383" s="18">
        <f t="shared" si="210"/>
        <v>1.0016537829004575</v>
      </c>
      <c r="V383" s="18">
        <f t="shared" si="211"/>
        <v>5.7471853064845792E-2</v>
      </c>
      <c r="W383" s="32" t="str">
        <f t="shared" si="202"/>
        <v>1-2.72541326050773i</v>
      </c>
      <c r="X383" s="18">
        <f t="shared" si="212"/>
        <v>2.9030806810268595</v>
      </c>
      <c r="Y383" s="18">
        <f t="shared" si="213"/>
        <v>-1.2191310325179021</v>
      </c>
      <c r="Z383" s="32" t="str">
        <f t="shared" si="203"/>
        <v>0.934848577470404+0.29083456748999i</v>
      </c>
      <c r="AA383" s="18">
        <f t="shared" si="214"/>
        <v>0.97904372141673401</v>
      </c>
      <c r="AB383" s="18">
        <f t="shared" si="215"/>
        <v>0.30161201227293655</v>
      </c>
      <c r="AC383" s="69" t="str">
        <f t="shared" si="216"/>
        <v>-1.25893871162212-0.140320558083659i</v>
      </c>
      <c r="AD383" s="67">
        <f t="shared" si="217"/>
        <v>2.0537126412460989</v>
      </c>
      <c r="AE383" s="64">
        <f t="shared" si="218"/>
        <v>-173.64009667553282</v>
      </c>
      <c r="AF383" s="32" t="str">
        <f t="shared" si="204"/>
        <v>-0.0000198412698412698</v>
      </c>
      <c r="AG383" s="32" t="str">
        <f t="shared" si="205"/>
        <v>0.00971082140973753i</v>
      </c>
      <c r="AH383" s="32">
        <f t="shared" si="219"/>
        <v>9.7108214097375301E-3</v>
      </c>
      <c r="AI383" s="32">
        <f t="shared" si="220"/>
        <v>1.5707963267948966</v>
      </c>
      <c r="AJ383" s="32" t="str">
        <f t="shared" si="206"/>
        <v>1+3.37064042009147i</v>
      </c>
      <c r="AK383" s="32">
        <f t="shared" si="221"/>
        <v>3.5158522212337653</v>
      </c>
      <c r="AL383" s="32">
        <f t="shared" si="222"/>
        <v>1.282388616417472</v>
      </c>
      <c r="AM383" s="32" t="str">
        <f t="shared" si="207"/>
        <v>1+72.890099084478i</v>
      </c>
      <c r="AN383" s="32">
        <f t="shared" si="223"/>
        <v>72.896958403934931</v>
      </c>
      <c r="AO383" s="32">
        <f t="shared" si="224"/>
        <v>1.5570779030301387</v>
      </c>
      <c r="AP383" s="61" t="str">
        <f t="shared" si="225"/>
        <v>-0.0114910219215926+0.0407753152667354i</v>
      </c>
      <c r="AQ383" s="52">
        <f t="shared" si="226"/>
        <v>-27.460154162478972</v>
      </c>
      <c r="AR383" s="64">
        <f t="shared" si="227"/>
        <v>105.73853680036528</v>
      </c>
      <c r="AS383" s="61" t="str">
        <f t="shared" si="228"/>
        <v>0.0201881073274568-0.0497211962589002i</v>
      </c>
      <c r="AT383" s="67">
        <f t="shared" si="229"/>
        <v>-25.406441521232871</v>
      </c>
      <c r="AU383" s="64">
        <f t="shared" si="230"/>
        <v>-67.901559875167507</v>
      </c>
    </row>
    <row r="384" spans="14:47" x14ac:dyDescent="0.25">
      <c r="N384" s="11">
        <v>66</v>
      </c>
      <c r="O384" s="53">
        <f t="shared" ref="O384:O418" si="231">10^(4+(N384/100))</f>
        <v>45708.818961487581</v>
      </c>
      <c r="P384" s="51" t="str">
        <f t="shared" si="199"/>
        <v>122.692307692308</v>
      </c>
      <c r="Q384" s="18" t="str">
        <f t="shared" si="200"/>
        <v>1+294.376904200034i</v>
      </c>
      <c r="R384" s="18">
        <f t="shared" si="208"/>
        <v>294.37860269794749</v>
      </c>
      <c r="S384" s="18">
        <f t="shared" si="209"/>
        <v>1.5673993342346446</v>
      </c>
      <c r="T384" s="18" t="str">
        <f t="shared" si="201"/>
        <v>1+0.0588753808400068i</v>
      </c>
      <c r="U384" s="18">
        <f t="shared" si="210"/>
        <v>1.001731655918418</v>
      </c>
      <c r="V384" s="18">
        <f t="shared" si="211"/>
        <v>5.8807495188828454E-2</v>
      </c>
      <c r="W384" s="32" t="str">
        <f t="shared" si="202"/>
        <v>1-2.78889629054659i</v>
      </c>
      <c r="X384" s="18">
        <f t="shared" si="212"/>
        <v>2.9627592746331128</v>
      </c>
      <c r="Y384" s="18">
        <f t="shared" si="213"/>
        <v>-1.226511878086592</v>
      </c>
      <c r="Z384" s="32" t="str">
        <f t="shared" si="203"/>
        <v>0.931778085523134+0.29760897482551i</v>
      </c>
      <c r="AA384" s="18">
        <f t="shared" si="214"/>
        <v>0.97815208559704447</v>
      </c>
      <c r="AB384" s="18">
        <f t="shared" si="215"/>
        <v>0.30915766175676435</v>
      </c>
      <c r="AC384" s="69" t="str">
        <f t="shared" si="216"/>
        <v>-1.25861267466943-0.122890684548837i</v>
      </c>
      <c r="AD384" s="67">
        <f t="shared" si="217"/>
        <v>2.0390494964068493</v>
      </c>
      <c r="AE384" s="64">
        <f t="shared" si="218"/>
        <v>-174.42332874502608</v>
      </c>
      <c r="AF384" s="32" t="str">
        <f t="shared" si="204"/>
        <v>-0.0000198412698412698</v>
      </c>
      <c r="AG384" s="32" t="str">
        <f t="shared" si="205"/>
        <v>0.00993701549787433i</v>
      </c>
      <c r="AH384" s="32">
        <f t="shared" si="219"/>
        <v>9.9370154978743307E-3</v>
      </c>
      <c r="AI384" s="32">
        <f t="shared" si="220"/>
        <v>1.5707963267948966</v>
      </c>
      <c r="AJ384" s="32" t="str">
        <f t="shared" si="206"/>
        <v>1+3.44915272137784i</v>
      </c>
      <c r="AK384" s="32">
        <f t="shared" si="221"/>
        <v>3.5911912362596565</v>
      </c>
      <c r="AL384" s="32">
        <f t="shared" si="222"/>
        <v>1.2886069119845831</v>
      </c>
      <c r="AM384" s="32" t="str">
        <f t="shared" si="207"/>
        <v>1+74.5879275997959i</v>
      </c>
      <c r="AN384" s="32">
        <f t="shared" si="223"/>
        <v>74.594630796273776</v>
      </c>
      <c r="AO384" s="32">
        <f t="shared" si="224"/>
        <v>1.5573901346295291</v>
      </c>
      <c r="AP384" s="61" t="str">
        <f t="shared" si="225"/>
        <v>-0.0110139427054245+0.0399854735748279i</v>
      </c>
      <c r="AQ384" s="52">
        <f t="shared" si="226"/>
        <v>-27.644349347938373</v>
      </c>
      <c r="AR384" s="64">
        <f t="shared" si="227"/>
        <v>105.40014426148049</v>
      </c>
      <c r="AS384" s="61" t="str">
        <f t="shared" si="228"/>
        <v>0.0187761301067502-0.0489727128852867i</v>
      </c>
      <c r="AT384" s="67">
        <f t="shared" si="229"/>
        <v>-25.605299851531523</v>
      </c>
      <c r="AU384" s="64">
        <f t="shared" si="230"/>
        <v>-69.023184483545606</v>
      </c>
    </row>
    <row r="385" spans="14:47" x14ac:dyDescent="0.25">
      <c r="N385" s="11">
        <v>67</v>
      </c>
      <c r="O385" s="53">
        <f t="shared" si="231"/>
        <v>46773.514128719893</v>
      </c>
      <c r="P385" s="51" t="str">
        <f t="shared" si="199"/>
        <v>122.692307692308</v>
      </c>
      <c r="Q385" s="18" t="str">
        <f t="shared" si="200"/>
        <v>1+301.233823157198i</v>
      </c>
      <c r="R385" s="18">
        <f t="shared" si="208"/>
        <v>301.23548299279423</v>
      </c>
      <c r="S385" s="18">
        <f t="shared" si="209"/>
        <v>1.5674766586510023</v>
      </c>
      <c r="T385" s="18" t="str">
        <f t="shared" si="201"/>
        <v>1+0.0602467646314397i</v>
      </c>
      <c r="U385" s="18">
        <f t="shared" si="210"/>
        <v>1.0018131924907738</v>
      </c>
      <c r="V385" s="18">
        <f t="shared" si="211"/>
        <v>6.0174030954268293E-2</v>
      </c>
      <c r="W385" s="32" t="str">
        <f t="shared" si="202"/>
        <v>1-2.85385803031412i</v>
      </c>
      <c r="X385" s="18">
        <f t="shared" si="212"/>
        <v>3.0239883692217444</v>
      </c>
      <c r="Y385" s="18">
        <f t="shared" si="213"/>
        <v>-1.2337626621254412</v>
      </c>
      <c r="Z385" s="32" t="str">
        <f t="shared" si="203"/>
        <v>0.928562885748586+0.304541178378804i</v>
      </c>
      <c r="AA385" s="18">
        <f t="shared" si="214"/>
        <v>0.97722789671503552</v>
      </c>
      <c r="AB385" s="18">
        <f t="shared" si="215"/>
        <v>0.31691621034305895</v>
      </c>
      <c r="AC385" s="69" t="str">
        <f t="shared" si="216"/>
        <v>-1.25823686285925-0.105448473923898i</v>
      </c>
      <c r="AD385" s="67">
        <f t="shared" si="217"/>
        <v>2.0256443009137293</v>
      </c>
      <c r="AE385" s="64">
        <f t="shared" si="218"/>
        <v>-175.20943378855191</v>
      </c>
      <c r="AF385" s="32" t="str">
        <f t="shared" si="204"/>
        <v>-0.0000198412698412698</v>
      </c>
      <c r="AG385" s="32" t="str">
        <f t="shared" si="205"/>
        <v>0.01016847832316i</v>
      </c>
      <c r="AH385" s="32">
        <f t="shared" si="219"/>
        <v>1.016847832316E-2</v>
      </c>
      <c r="AI385" s="32">
        <f t="shared" si="220"/>
        <v>1.5707963267948966</v>
      </c>
      <c r="AJ385" s="32" t="str">
        <f t="shared" si="206"/>
        <v>1+3.52949380909205i</v>
      </c>
      <c r="AK385" s="32">
        <f t="shared" si="221"/>
        <v>3.6684228966163519</v>
      </c>
      <c r="AL385" s="32">
        <f t="shared" si="222"/>
        <v>1.2947054041640249</v>
      </c>
      <c r="AM385" s="32" t="str">
        <f t="shared" si="207"/>
        <v>1+76.3253036216156i</v>
      </c>
      <c r="AN385" s="32">
        <f t="shared" si="223"/>
        <v>76.331854247959996</v>
      </c>
      <c r="AO385" s="32">
        <f t="shared" si="224"/>
        <v>1.5576952614959592</v>
      </c>
      <c r="AP385" s="61" t="str">
        <f t="shared" si="225"/>
        <v>-0.0105550692548624+0.039205304196966i</v>
      </c>
      <c r="AQ385" s="52">
        <f t="shared" si="226"/>
        <v>-27.829201733712186</v>
      </c>
      <c r="AR385" s="64">
        <f t="shared" si="227"/>
        <v>105.06820887986754</v>
      </c>
      <c r="AS385" s="61" t="str">
        <f t="shared" si="228"/>
        <v>0.0174149167237924-0.0482165430151468i</v>
      </c>
      <c r="AT385" s="67">
        <f t="shared" si="229"/>
        <v>-25.803557432798456</v>
      </c>
      <c r="AU385" s="64">
        <f t="shared" si="230"/>
        <v>-70.141224908684421</v>
      </c>
    </row>
    <row r="386" spans="14:47" x14ac:dyDescent="0.25">
      <c r="N386" s="11">
        <v>68</v>
      </c>
      <c r="O386" s="53">
        <f t="shared" si="231"/>
        <v>47863.009232263823</v>
      </c>
      <c r="P386" s="51" t="str">
        <f t="shared" si="199"/>
        <v>122.692307692308</v>
      </c>
      <c r="Q386" s="18" t="str">
        <f t="shared" si="200"/>
        <v>1+308.2504602747i</v>
      </c>
      <c r="R386" s="18">
        <f t="shared" si="208"/>
        <v>308.25208232802652</v>
      </c>
      <c r="S386" s="18">
        <f t="shared" si="209"/>
        <v>1.5675522229871146</v>
      </c>
      <c r="T386" s="18" t="str">
        <f t="shared" si="201"/>
        <v>1+0.0616500920549401i</v>
      </c>
      <c r="U386" s="18">
        <f t="shared" si="210"/>
        <v>1.0018985646513237</v>
      </c>
      <c r="V386" s="18">
        <f t="shared" si="211"/>
        <v>6.1572164489808234E-2</v>
      </c>
      <c r="W386" s="32" t="str">
        <f t="shared" si="202"/>
        <v>1-2.92033292338459i</v>
      </c>
      <c r="X386" s="18">
        <f t="shared" si="212"/>
        <v>3.0868016430285872</v>
      </c>
      <c r="Y386" s="18">
        <f t="shared" si="213"/>
        <v>-1.2408841785321003</v>
      </c>
      <c r="Z386" s="32" t="str">
        <f t="shared" si="203"/>
        <v>0.925196158276971+0.311634853695952i</v>
      </c>
      <c r="AA386" s="18">
        <f t="shared" si="214"/>
        <v>0.97627056358806763</v>
      </c>
      <c r="AB386" s="18">
        <f t="shared" si="215"/>
        <v>0.32489524779109519</v>
      </c>
      <c r="AC386" s="69" t="str">
        <f t="shared" si="216"/>
        <v>-1.25780634420302-0.08797966520568i</v>
      </c>
      <c r="AD386" s="67">
        <f t="shared" si="217"/>
        <v>2.013471969802255</v>
      </c>
      <c r="AE386" s="64">
        <f t="shared" si="218"/>
        <v>-175.9988541594949</v>
      </c>
      <c r="AF386" s="32" t="str">
        <f t="shared" si="204"/>
        <v>-0.0000198412698412698</v>
      </c>
      <c r="AG386" s="32" t="str">
        <f t="shared" si="205"/>
        <v>0.0104053326102484i</v>
      </c>
      <c r="AH386" s="32">
        <f t="shared" si="219"/>
        <v>1.04053326102484E-2</v>
      </c>
      <c r="AI386" s="32">
        <f t="shared" si="220"/>
        <v>1.5707963267948966</v>
      </c>
      <c r="AJ386" s="32" t="str">
        <f t="shared" si="206"/>
        <v>1+3.61170628114219i</v>
      </c>
      <c r="AK386" s="32">
        <f t="shared" si="221"/>
        <v>3.7475888596859113</v>
      </c>
      <c r="AL386" s="32">
        <f t="shared" si="222"/>
        <v>1.3006855112505138</v>
      </c>
      <c r="AM386" s="32" t="str">
        <f t="shared" si="207"/>
        <v>1+78.1031483296999i</v>
      </c>
      <c r="AN386" s="32">
        <f t="shared" si="223"/>
        <v>78.109549857946973</v>
      </c>
      <c r="AO386" s="32">
        <f t="shared" si="224"/>
        <v>1.5579934451843376</v>
      </c>
      <c r="AP386" s="61" t="str">
        <f t="shared" si="225"/>
        <v>-0.0101138381530904+0.0384350494594021i</v>
      </c>
      <c r="AQ386" s="52">
        <f t="shared" si="226"/>
        <v>-28.014686157470628</v>
      </c>
      <c r="AR386" s="64">
        <f t="shared" si="227"/>
        <v>104.74265864963914</v>
      </c>
      <c r="AS386" s="61" t="str">
        <f t="shared" si="228"/>
        <v>0.0161027525768016-0.0474540369551395i</v>
      </c>
      <c r="AT386" s="67">
        <f t="shared" si="229"/>
        <v>-26.001214187668374</v>
      </c>
      <c r="AU386" s="64">
        <f t="shared" si="230"/>
        <v>-71.256195509855772</v>
      </c>
    </row>
    <row r="387" spans="14:47" x14ac:dyDescent="0.25">
      <c r="N387" s="11">
        <v>69</v>
      </c>
      <c r="O387" s="53">
        <f t="shared" si="231"/>
        <v>48977.881936844598</v>
      </c>
      <c r="P387" s="51" t="str">
        <f t="shared" si="199"/>
        <v>122.692307692308</v>
      </c>
      <c r="Q387" s="18" t="str">
        <f t="shared" si="200"/>
        <v>1+315.430535866417i</v>
      </c>
      <c r="R387" s="18">
        <f t="shared" si="208"/>
        <v>315.43212099748973</v>
      </c>
      <c r="S387" s="18">
        <f t="shared" si="209"/>
        <v>1.5676260673047391</v>
      </c>
      <c r="T387" s="18" t="str">
        <f t="shared" si="201"/>
        <v>1+0.0630861071732834i</v>
      </c>
      <c r="U387" s="18">
        <f t="shared" si="210"/>
        <v>1.0019879524816049</v>
      </c>
      <c r="V387" s="18">
        <f t="shared" si="211"/>
        <v>6.3002615227689809E-2</v>
      </c>
      <c r="W387" s="32" t="str">
        <f t="shared" si="202"/>
        <v>1-2.98835621562621i</v>
      </c>
      <c r="X387" s="18">
        <f t="shared" si="212"/>
        <v>3.1512335475924029</v>
      </c>
      <c r="Y387" s="18">
        <f t="shared" si="213"/>
        <v>-1.2478773129036618</v>
      </c>
      <c r="Z387" s="32" t="str">
        <f t="shared" si="203"/>
        <v>0.921670761827936+0.318893761937506i</v>
      </c>
      <c r="AA387" s="18">
        <f t="shared" si="214"/>
        <v>0.97527956228516466</v>
      </c>
      <c r="AB387" s="18">
        <f t="shared" si="215"/>
        <v>0.33310272254892187</v>
      </c>
      <c r="AC387" s="69" t="str">
        <f t="shared" si="216"/>
        <v>-1.25731564718889-0.0704697057864638i</v>
      </c>
      <c r="AD387" s="67">
        <f t="shared" si="217"/>
        <v>2.0025077315362307</v>
      </c>
      <c r="AE387" s="64">
        <f t="shared" si="218"/>
        <v>-176.7920570862957</v>
      </c>
      <c r="AF387" s="32" t="str">
        <f t="shared" si="204"/>
        <v>-0.0000198412698412698</v>
      </c>
      <c r="AG387" s="32" t="str">
        <f t="shared" si="205"/>
        <v>0.0106477039424176i</v>
      </c>
      <c r="AH387" s="32">
        <f t="shared" si="219"/>
        <v>1.06477039424176E-2</v>
      </c>
      <c r="AI387" s="32">
        <f t="shared" si="220"/>
        <v>1.5707963267948966</v>
      </c>
      <c r="AJ387" s="32" t="str">
        <f t="shared" si="206"/>
        <v>1+3.69583372766918i</v>
      </c>
      <c r="AK387" s="32">
        <f t="shared" si="221"/>
        <v>3.8287317668618499</v>
      </c>
      <c r="AL387" s="32">
        <f t="shared" si="222"/>
        <v>1.306548692429786</v>
      </c>
      <c r="AM387" s="32" t="str">
        <f t="shared" si="207"/>
        <v>1+79.922404360846i</v>
      </c>
      <c r="AN387" s="32">
        <f t="shared" si="223"/>
        <v>79.928660184057748</v>
      </c>
      <c r="AO387" s="32">
        <f t="shared" si="224"/>
        <v>1.5582848435833803</v>
      </c>
      <c r="AP387" s="61" t="str">
        <f t="shared" si="225"/>
        <v>-0.00968969249524349+0.0376749241081777i</v>
      </c>
      <c r="AQ387" s="52">
        <f t="shared" si="226"/>
        <v>-28.200778242372223</v>
      </c>
      <c r="AR387" s="64">
        <f t="shared" si="227"/>
        <v>104.42341901196829</v>
      </c>
      <c r="AS387" s="61" t="str">
        <f t="shared" si="228"/>
        <v>0.014837942808149-0.0466864418085646i</v>
      </c>
      <c r="AT387" s="67">
        <f t="shared" si="229"/>
        <v>-26.198270510836004</v>
      </c>
      <c r="AU387" s="64">
        <f t="shared" si="230"/>
        <v>-72.368638074327436</v>
      </c>
    </row>
    <row r="388" spans="14:47" x14ac:dyDescent="0.25">
      <c r="N388" s="11">
        <v>70</v>
      </c>
      <c r="O388" s="53">
        <f t="shared" si="231"/>
        <v>50118.723362727294</v>
      </c>
      <c r="P388" s="51" t="str">
        <f t="shared" si="199"/>
        <v>122.692307692308</v>
      </c>
      <c r="Q388" s="18" t="str">
        <f t="shared" si="200"/>
        <v>1+322.777856903468i</v>
      </c>
      <c r="R388" s="18">
        <f t="shared" si="208"/>
        <v>322.77940595272753</v>
      </c>
      <c r="S388" s="18">
        <f t="shared" si="209"/>
        <v>1.5676982307538869</v>
      </c>
      <c r="T388" s="18" t="str">
        <f t="shared" si="201"/>
        <v>1+0.0645555713806937i</v>
      </c>
      <c r="U388" s="18">
        <f t="shared" si="210"/>
        <v>1.0020815444844235</v>
      </c>
      <c r="V388" s="18">
        <f t="shared" si="211"/>
        <v>6.4466118182832183E-2</v>
      </c>
      <c r="W388" s="32" t="str">
        <f t="shared" si="202"/>
        <v>1-3.05796397388894i</v>
      </c>
      <c r="X388" s="18">
        <f t="shared" si="212"/>
        <v>3.2173193291314179</v>
      </c>
      <c r="Y388" s="18">
        <f t="shared" si="213"/>
        <v>-1.2547430362562311</v>
      </c>
      <c r="Z388" s="32" t="str">
        <f t="shared" si="203"/>
        <v>0.917979218562953+0.326321751872697i</v>
      </c>
      <c r="AA388" s="18">
        <f t="shared" si="214"/>
        <v>0.97425444903203573</v>
      </c>
      <c r="AB388" s="18">
        <f t="shared" si="215"/>
        <v>0.34154696178162464</v>
      </c>
      <c r="AC388" s="69" t="str">
        <f t="shared" si="216"/>
        <v>-1.25675870562769-0.0529037368058416i</v>
      </c>
      <c r="AD388" s="67">
        <f t="shared" si="217"/>
        <v>1.9927270252169496</v>
      </c>
      <c r="AE388" s="64">
        <f t="shared" si="218"/>
        <v>-177.58953544537161</v>
      </c>
      <c r="AF388" s="32" t="str">
        <f t="shared" si="204"/>
        <v>-0.0000198412698412698</v>
      </c>
      <c r="AG388" s="32" t="str">
        <f t="shared" si="205"/>
        <v>0.0108957208281561i</v>
      </c>
      <c r="AH388" s="32">
        <f t="shared" si="219"/>
        <v>1.08957208281561E-2</v>
      </c>
      <c r="AI388" s="32">
        <f t="shared" si="220"/>
        <v>1.5707963267948966</v>
      </c>
      <c r="AJ388" s="32" t="str">
        <f t="shared" si="206"/>
        <v>1+3.78192075415874i</v>
      </c>
      <c r="AK388" s="32">
        <f t="shared" si="221"/>
        <v>3.9118952683752428</v>
      </c>
      <c r="AL388" s="32">
        <f t="shared" si="222"/>
        <v>1.3122964433254709</v>
      </c>
      <c r="AM388" s="32" t="str">
        <f t="shared" si="207"/>
        <v>1+81.7840363086827i</v>
      </c>
      <c r="AN388" s="32">
        <f t="shared" si="223"/>
        <v>81.790149742740596</v>
      </c>
      <c r="AO388" s="32">
        <f t="shared" si="224"/>
        <v>1.558569610998314</v>
      </c>
      <c r="AP388" s="61" t="str">
        <f t="shared" si="225"/>
        <v>-0.00928208283727964+0.036925116611918i</v>
      </c>
      <c r="AQ388" s="52">
        <f t="shared" si="226"/>
        <v>-28.387454387364471</v>
      </c>
      <c r="AR388" s="64">
        <f t="shared" si="227"/>
        <v>104.11041311497156</v>
      </c>
      <c r="AS388" s="61" t="str">
        <f t="shared" si="228"/>
        <v>0.0136188150628705-0.0459149048909121i</v>
      </c>
      <c r="AT388" s="67">
        <f t="shared" si="229"/>
        <v>-26.394727362147528</v>
      </c>
      <c r="AU388" s="64">
        <f t="shared" si="230"/>
        <v>-73.479122330400003</v>
      </c>
    </row>
    <row r="389" spans="14:47" x14ac:dyDescent="0.25">
      <c r="N389" s="11">
        <v>71</v>
      </c>
      <c r="O389" s="53">
        <f t="shared" si="231"/>
        <v>51286.138399136544</v>
      </c>
      <c r="P389" s="51" t="str">
        <f t="shared" si="199"/>
        <v>122.692307692308</v>
      </c>
      <c r="Q389" s="18" t="str">
        <f t="shared" si="200"/>
        <v>1+330.29631903272i</v>
      </c>
      <c r="R389" s="18">
        <f t="shared" si="208"/>
        <v>330.29783282147702</v>
      </c>
      <c r="S389" s="18">
        <f t="shared" si="209"/>
        <v>1.5677687515935659</v>
      </c>
      <c r="T389" s="18" t="str">
        <f t="shared" si="201"/>
        <v>1+0.066059263806544i</v>
      </c>
      <c r="U389" s="18">
        <f t="shared" si="210"/>
        <v>1.0021795379744403</v>
      </c>
      <c r="V389" s="18">
        <f t="shared" si="211"/>
        <v>6.5963424233011755E-2</v>
      </c>
      <c r="W389" s="32" t="str">
        <f t="shared" si="202"/>
        <v>1-3.12919310512757i</v>
      </c>
      <c r="X389" s="18">
        <f t="shared" si="212"/>
        <v>3.285095050250133</v>
      </c>
      <c r="Y389" s="18">
        <f t="shared" si="213"/>
        <v>-1.2614823989100294</v>
      </c>
      <c r="Z389" s="32" t="str">
        <f t="shared" si="203"/>
        <v>0.914113698223824+0.333922761920111i</v>
      </c>
      <c r="AA389" s="18">
        <f t="shared" si="214"/>
        <v>0.97319487473413646</v>
      </c>
      <c r="AB389" s="18">
        <f t="shared" si="215"/>
        <v>0.35023669243290506</v>
      </c>
      <c r="AC389" s="69" t="str">
        <f t="shared" si="216"/>
        <v>-1.2561287978549-0.0352665799393983i</v>
      </c>
      <c r="AD389" s="67">
        <f t="shared" si="217"/>
        <v>1.984105379510265</v>
      </c>
      <c r="AE389" s="64">
        <f t="shared" si="218"/>
        <v>-178.39180860263284</v>
      </c>
      <c r="AF389" s="32" t="str">
        <f t="shared" si="204"/>
        <v>-0.0000198412698412698</v>
      </c>
      <c r="AG389" s="32" t="str">
        <f t="shared" si="205"/>
        <v>0.0111495147692996i</v>
      </c>
      <c r="AH389" s="32">
        <f t="shared" si="219"/>
        <v>1.1149514769299601E-2</v>
      </c>
      <c r="AI389" s="32">
        <f t="shared" si="220"/>
        <v>1.5707963267948966</v>
      </c>
      <c r="AJ389" s="32" t="str">
        <f t="shared" si="206"/>
        <v>1+3.87001300509179i</v>
      </c>
      <c r="AK389" s="32">
        <f t="shared" si="221"/>
        <v>3.9971240485603623</v>
      </c>
      <c r="AL389" s="32">
        <f t="shared" si="222"/>
        <v>1.3179302917585347</v>
      </c>
      <c r="AM389" s="32" t="str">
        <f t="shared" si="207"/>
        <v>1+83.6890312351099i</v>
      </c>
      <c r="AN389" s="32">
        <f t="shared" si="223"/>
        <v>83.695005520468186</v>
      </c>
      <c r="AO389" s="32">
        <f t="shared" si="224"/>
        <v>1.5588478982317457</v>
      </c>
      <c r="AP389" s="61" t="str">
        <f t="shared" si="225"/>
        <v>-0.00889046803779746+0.0361857904558916i</v>
      </c>
      <c r="AQ389" s="52">
        <f t="shared" si="226"/>
        <v>-28.574691756217767</v>
      </c>
      <c r="AR389" s="64">
        <f t="shared" si="227"/>
        <v>103.80356206130861</v>
      </c>
      <c r="AS389" s="61" t="str">
        <f t="shared" si="228"/>
        <v>0.012443722000469-0.0451404770630348i</v>
      </c>
      <c r="AT389" s="67">
        <f t="shared" si="229"/>
        <v>-26.590586376707495</v>
      </c>
      <c r="AU389" s="64">
        <f t="shared" si="230"/>
        <v>-74.588246541324168</v>
      </c>
    </row>
    <row r="390" spans="14:47" x14ac:dyDescent="0.25">
      <c r="N390" s="11">
        <v>72</v>
      </c>
      <c r="O390" s="53">
        <f t="shared" si="231"/>
        <v>52480.746024977314</v>
      </c>
      <c r="P390" s="51" t="str">
        <f t="shared" si="199"/>
        <v>122.692307692308</v>
      </c>
      <c r="Q390" s="18" t="str">
        <f t="shared" si="200"/>
        <v>1+337.98990864231i</v>
      </c>
      <c r="R390" s="18">
        <f t="shared" si="208"/>
        <v>337.99138797318057</v>
      </c>
      <c r="S390" s="18">
        <f t="shared" si="209"/>
        <v>1.5678376672120518</v>
      </c>
      <c r="T390" s="18" t="str">
        <f t="shared" si="201"/>
        <v>1+0.0675979817284621i</v>
      </c>
      <c r="U390" s="18">
        <f t="shared" si="210"/>
        <v>1.0022821394865626</v>
      </c>
      <c r="V390" s="18">
        <f t="shared" si="211"/>
        <v>6.7495300399800742E-2</v>
      </c>
      <c r="W390" s="32" t="str">
        <f t="shared" si="202"/>
        <v>1-3.20208137597029i</v>
      </c>
      <c r="X390" s="18">
        <f t="shared" si="212"/>
        <v>3.354597611985048</v>
      </c>
      <c r="Y390" s="18">
        <f t="shared" si="213"/>
        <v>-1.2680965245526195</v>
      </c>
      <c r="Z390" s="32" t="str">
        <f t="shared" si="203"/>
        <v>0.910066001523652+0.341700822235884i</v>
      </c>
      <c r="AA390" s="18">
        <f t="shared" si="214"/>
        <v>0.97210060129902542</v>
      </c>
      <c r="AB390" s="18">
        <f t="shared" si="215"/>
        <v>0.3591810633326542</v>
      </c>
      <c r="AC390" s="69" t="str">
        <f t="shared" si="216"/>
        <v>-1.25541847976038-0.0175427260754021i</v>
      </c>
      <c r="AD390" s="67">
        <f t="shared" si="217"/>
        <v>1.9766182716642429</v>
      </c>
      <c r="AE390" s="64">
        <f t="shared" si="218"/>
        <v>-179.19942332506588</v>
      </c>
      <c r="AF390" s="32" t="str">
        <f t="shared" si="204"/>
        <v>-0.0000198412698412698</v>
      </c>
      <c r="AG390" s="32" t="str">
        <f t="shared" si="205"/>
        <v>0.0114092203307551i</v>
      </c>
      <c r="AH390" s="32">
        <f t="shared" si="219"/>
        <v>1.14092203307551E-2</v>
      </c>
      <c r="AI390" s="32">
        <f t="shared" si="220"/>
        <v>1.5707963267948966</v>
      </c>
      <c r="AJ390" s="32" t="str">
        <f t="shared" si="206"/>
        <v>1+3.9601571881458i</v>
      </c>
      <c r="AK390" s="32">
        <f t="shared" si="221"/>
        <v>4.0844638515749958</v>
      </c>
      <c r="AL390" s="32">
        <f t="shared" si="222"/>
        <v>1.3234517937173556</v>
      </c>
      <c r="AM390" s="32" t="str">
        <f t="shared" si="207"/>
        <v>1+85.638399193653i</v>
      </c>
      <c r="AN390" s="32">
        <f t="shared" si="223"/>
        <v>85.644237497052117</v>
      </c>
      <c r="AO390" s="32">
        <f t="shared" si="224"/>
        <v>1.5591198526627377</v>
      </c>
      <c r="AP390" s="61" t="str">
        <f t="shared" si="225"/>
        <v>-0.00851431599877076+0.0354570854215503i</v>
      </c>
      <c r="AQ390" s="52">
        <f t="shared" si="226"/>
        <v>-28.762468265439431</v>
      </c>
      <c r="AR390" s="64">
        <f t="shared" si="227"/>
        <v>103.50278514361072</v>
      </c>
      <c r="AS390" s="61" t="str">
        <f t="shared" si="228"/>
        <v>0.0113110435843587-0.0443641159633708i</v>
      </c>
      <c r="AT390" s="67">
        <f t="shared" si="229"/>
        <v>-26.78584999377518</v>
      </c>
      <c r="AU390" s="64">
        <f t="shared" si="230"/>
        <v>-75.696638181455128</v>
      </c>
    </row>
    <row r="391" spans="14:47" x14ac:dyDescent="0.25">
      <c r="N391" s="11">
        <v>73</v>
      </c>
      <c r="O391" s="53">
        <f t="shared" si="231"/>
        <v>53703.179637025423</v>
      </c>
      <c r="P391" s="51" t="str">
        <f t="shared" si="199"/>
        <v>122.692307692308</v>
      </c>
      <c r="Q391" s="18" t="str">
        <f t="shared" si="200"/>
        <v>1+345.862704975289i</v>
      </c>
      <c r="R391" s="18">
        <f t="shared" si="208"/>
        <v>345.86415063262018</v>
      </c>
      <c r="S391" s="18">
        <f t="shared" si="209"/>
        <v>1.5679050141466973</v>
      </c>
      <c r="T391" s="18" t="str">
        <f t="shared" si="201"/>
        <v>1+0.0691725409950578i</v>
      </c>
      <c r="U391" s="18">
        <f t="shared" si="210"/>
        <v>1.0023895652029269</v>
      </c>
      <c r="V391" s="18">
        <f t="shared" si="211"/>
        <v>6.9062530129884572E-2</v>
      </c>
      <c r="W391" s="32" t="str">
        <f t="shared" si="202"/>
        <v>1-3.27666743274312i</v>
      </c>
      <c r="X391" s="18">
        <f t="shared" si="212"/>
        <v>3.4258647761987611</v>
      </c>
      <c r="Y391" s="18">
        <f t="shared" si="213"/>
        <v>-1.2745866044906551</v>
      </c>
      <c r="Z391" s="32" t="str">
        <f t="shared" si="203"/>
        <v>0.90582754275505+0.349660056850552i</v>
      </c>
      <c r="AA391" s="18">
        <f t="shared" si="214"/>
        <v>0.97097151995842956</v>
      </c>
      <c r="AB391" s="18">
        <f t="shared" si="215"/>
        <v>0.36838966835295267</v>
      </c>
      <c r="AC391" s="69" t="str">
        <f t="shared" si="216"/>
        <v>-1.25461951108108+0.000283673579681272i</v>
      </c>
      <c r="AD391" s="67">
        <f t="shared" si="217"/>
        <v>1.9702409647829633</v>
      </c>
      <c r="AE391" s="64">
        <f t="shared" si="218"/>
        <v>179.98704523685902</v>
      </c>
      <c r="AF391" s="32" t="str">
        <f t="shared" si="204"/>
        <v>-0.0000198412698412698</v>
      </c>
      <c r="AG391" s="32" t="str">
        <f t="shared" si="205"/>
        <v>0.0116749752118488i</v>
      </c>
      <c r="AH391" s="32">
        <f t="shared" si="219"/>
        <v>1.16749752118488E-2</v>
      </c>
      <c r="AI391" s="32">
        <f t="shared" si="220"/>
        <v>1.5707963267948966</v>
      </c>
      <c r="AJ391" s="32" t="str">
        <f t="shared" si="206"/>
        <v>1+4.05240109895986i</v>
      </c>
      <c r="AK391" s="32">
        <f t="shared" si="221"/>
        <v>4.1739615075909695</v>
      </c>
      <c r="AL391" s="32">
        <f t="shared" si="222"/>
        <v>1.3288625295356018</v>
      </c>
      <c r="AM391" s="32" t="str">
        <f t="shared" si="207"/>
        <v>1+87.633173765007i</v>
      </c>
      <c r="AN391" s="32">
        <f t="shared" si="223"/>
        <v>87.638879181148312</v>
      </c>
      <c r="AO391" s="32">
        <f t="shared" si="224"/>
        <v>1.5593856183241286</v>
      </c>
      <c r="AP391" s="61" t="str">
        <f t="shared" si="225"/>
        <v>-0.00815310431120149+0.0347391188464922i</v>
      </c>
      <c r="AQ391" s="52">
        <f t="shared" si="226"/>
        <v>-28.950762571205995</v>
      </c>
      <c r="AR391" s="64">
        <f t="shared" si="227"/>
        <v>103.20800006790211</v>
      </c>
      <c r="AS391" s="61" t="str">
        <f t="shared" si="228"/>
        <v>0.0102191891745145-0.0435866891228591i</v>
      </c>
      <c r="AT391" s="67">
        <f t="shared" si="229"/>
        <v>-26.980521606423022</v>
      </c>
      <c r="AU391" s="64">
        <f t="shared" si="230"/>
        <v>-76.804954695238919</v>
      </c>
    </row>
    <row r="392" spans="14:47" x14ac:dyDescent="0.25">
      <c r="N392" s="11">
        <v>74</v>
      </c>
      <c r="O392" s="53">
        <f t="shared" si="231"/>
        <v>54954.087385762505</v>
      </c>
      <c r="P392" s="51" t="str">
        <f t="shared" si="199"/>
        <v>122.692307692308</v>
      </c>
      <c r="Q392" s="18" t="str">
        <f t="shared" si="200"/>
        <v>1+353.918882292478i</v>
      </c>
      <c r="R392" s="18">
        <f t="shared" si="208"/>
        <v>353.92029504276366</v>
      </c>
      <c r="S392" s="18">
        <f t="shared" si="209"/>
        <v>1.5679708281032938</v>
      </c>
      <c r="T392" s="18" t="str">
        <f t="shared" si="201"/>
        <v>1+0.0707837764584957i</v>
      </c>
      <c r="U392" s="18">
        <f t="shared" si="210"/>
        <v>1.0025020413992813</v>
      </c>
      <c r="V392" s="18">
        <f t="shared" si="211"/>
        <v>7.0665913576346495E-2</v>
      </c>
      <c r="W392" s="32" t="str">
        <f t="shared" si="202"/>
        <v>1-3.3529908219606i</v>
      </c>
      <c r="X392" s="18">
        <f t="shared" si="212"/>
        <v>3.4989351883325908</v>
      </c>
      <c r="Y392" s="18">
        <f t="shared" si="213"/>
        <v>-1.2809538920985202</v>
      </c>
      <c r="Z392" s="32" t="str">
        <f t="shared" si="203"/>
        <v>0.901389331578709+0.357804685855659i</v>
      </c>
      <c r="AA392" s="18">
        <f t="shared" si="214"/>
        <v>0.96980767181136418</v>
      </c>
      <c r="AB392" s="18">
        <f t="shared" si="215"/>
        <v>0.37787257060177137</v>
      </c>
      <c r="AC392" s="69" t="str">
        <f t="shared" si="216"/>
        <v>-1.25372277435716+0.0182288133211256i</v>
      </c>
      <c r="AD392" s="67">
        <f t="shared" si="217"/>
        <v>1.9649483212963812</v>
      </c>
      <c r="AE392" s="64">
        <f t="shared" si="218"/>
        <v>179.16699249606728</v>
      </c>
      <c r="AF392" s="32" t="str">
        <f t="shared" si="204"/>
        <v>-0.0000198412698412698</v>
      </c>
      <c r="AG392" s="32" t="str">
        <f t="shared" si="205"/>
        <v>0.0119469203193363i</v>
      </c>
      <c r="AH392" s="32">
        <f t="shared" si="219"/>
        <v>1.19469203193363E-2</v>
      </c>
      <c r="AI392" s="32">
        <f t="shared" si="220"/>
        <v>1.5707963267948966</v>
      </c>
      <c r="AJ392" s="32" t="str">
        <f t="shared" si="206"/>
        <v>1+4.14679364647645i</v>
      </c>
      <c r="AK392" s="32">
        <f t="shared" si="221"/>
        <v>4.2656649594708504</v>
      </c>
      <c r="AL392" s="32">
        <f t="shared" si="222"/>
        <v>1.3341641002743305</v>
      </c>
      <c r="AM392" s="32" t="str">
        <f t="shared" si="207"/>
        <v>1+89.6744126050532i</v>
      </c>
      <c r="AN392" s="32">
        <f t="shared" si="223"/>
        <v>89.679988158235872</v>
      </c>
      <c r="AO392" s="32">
        <f t="shared" si="224"/>
        <v>1.5596453359781324</v>
      </c>
      <c r="AP392" s="61" t="str">
        <f t="shared" si="225"/>
        <v>-0.00780632081166643+0.0340319868604678i</v>
      </c>
      <c r="AQ392" s="52">
        <f t="shared" si="226"/>
        <v>-29.139554055444634</v>
      </c>
      <c r="AR392" s="64">
        <f t="shared" si="227"/>
        <v>102.91912316522235</v>
      </c>
      <c r="AS392" s="61" t="str">
        <f t="shared" si="228"/>
        <v>0.009166599450098-0.0428089769483928i</v>
      </c>
      <c r="AT392" s="67">
        <f t="shared" si="229"/>
        <v>-27.174605734148255</v>
      </c>
      <c r="AU392" s="64">
        <f t="shared" si="230"/>
        <v>-77.913884338710389</v>
      </c>
    </row>
    <row r="393" spans="14:47" x14ac:dyDescent="0.25">
      <c r="N393" s="11">
        <v>75</v>
      </c>
      <c r="O393" s="53">
        <f t="shared" si="231"/>
        <v>56234.132519034953</v>
      </c>
      <c r="P393" s="51" t="str">
        <f t="shared" si="199"/>
        <v>122.692307692308</v>
      </c>
      <c r="Q393" s="18" t="str">
        <f t="shared" si="200"/>
        <v>1+362.16271208573i</v>
      </c>
      <c r="R393" s="18">
        <f t="shared" si="208"/>
        <v>362.16409267801708</v>
      </c>
      <c r="S393" s="18">
        <f t="shared" si="209"/>
        <v>1.5680351439749902</v>
      </c>
      <c r="T393" s="18" t="str">
        <f t="shared" si="201"/>
        <v>1+0.072432542417146i</v>
      </c>
      <c r="U393" s="18">
        <f t="shared" si="210"/>
        <v>1.0026198049116184</v>
      </c>
      <c r="V393" s="18">
        <f t="shared" si="211"/>
        <v>7.2306267879473807E-2</v>
      </c>
      <c r="W393" s="32" t="str">
        <f t="shared" si="202"/>
        <v>1-3.43109201129396i</v>
      </c>
      <c r="X393" s="18">
        <f t="shared" si="212"/>
        <v>3.5738484005292159</v>
      </c>
      <c r="Y393" s="18">
        <f t="shared" si="213"/>
        <v>-1.2871996974703801</v>
      </c>
      <c r="Z393" s="32" t="str">
        <f t="shared" si="203"/>
        <v>0.896741953953686+0.366139027641313i</v>
      </c>
      <c r="AA393" s="18">
        <f t="shared" si="214"/>
        <v>0.96860927083256898</v>
      </c>
      <c r="AB393" s="18">
        <f t="shared" si="215"/>
        <v>0.38764032762726514</v>
      </c>
      <c r="AC393" s="69" t="str">
        <f t="shared" si="216"/>
        <v>-1.25271818591979+0.0363092349233292i</v>
      </c>
      <c r="AD393" s="67">
        <f t="shared" si="217"/>
        <v>1.9607145903161272</v>
      </c>
      <c r="AE393" s="64">
        <f t="shared" si="218"/>
        <v>178.33978330620096</v>
      </c>
      <c r="AF393" s="32" t="str">
        <f t="shared" si="204"/>
        <v>-0.0000198412698412698</v>
      </c>
      <c r="AG393" s="32" t="str">
        <f t="shared" si="205"/>
        <v>0.0122251998421134i</v>
      </c>
      <c r="AH393" s="32">
        <f t="shared" si="219"/>
        <v>1.2225199842113401E-2</v>
      </c>
      <c r="AI393" s="32">
        <f t="shared" si="220"/>
        <v>1.5707963267948966</v>
      </c>
      <c r="AJ393" s="32" t="str">
        <f t="shared" si="206"/>
        <v>1+4.2433848788737i</v>
      </c>
      <c r="AK393" s="32">
        <f t="shared" si="221"/>
        <v>4.359623289947649</v>
      </c>
      <c r="AL393" s="32">
        <f t="shared" si="222"/>
        <v>1.3393581243040866</v>
      </c>
      <c r="AM393" s="32" t="str">
        <f t="shared" si="207"/>
        <v>1+91.7631980056438i</v>
      </c>
      <c r="AN393" s="32">
        <f t="shared" si="223"/>
        <v>91.768646651364477</v>
      </c>
      <c r="AO393" s="32">
        <f t="shared" si="224"/>
        <v>1.5598991431902562</v>
      </c>
      <c r="AP393" s="61" t="str">
        <f t="shared" si="225"/>
        <v>-0.00747346405566078+0.033335765593695i</v>
      </c>
      <c r="AQ393" s="52">
        <f t="shared" si="226"/>
        <v>-29.328822811183869</v>
      </c>
      <c r="AR393" s="64">
        <f t="shared" si="227"/>
        <v>102.63606959169248</v>
      </c>
      <c r="AS393" s="61" t="str">
        <f t="shared" si="228"/>
        <v>0.00815174819005362-0.042031675562869i</v>
      </c>
      <c r="AT393" s="67">
        <f t="shared" si="229"/>
        <v>-27.368108220867743</v>
      </c>
      <c r="AU393" s="64">
        <f t="shared" si="230"/>
        <v>-79.024147102106582</v>
      </c>
    </row>
    <row r="394" spans="14:47" x14ac:dyDescent="0.25">
      <c r="N394" s="11">
        <v>76</v>
      </c>
      <c r="O394" s="53">
        <f t="shared" si="231"/>
        <v>57543.993733715732</v>
      </c>
      <c r="P394" s="51" t="str">
        <f t="shared" si="199"/>
        <v>122.692307692308</v>
      </c>
      <c r="Q394" s="18" t="str">
        <f t="shared" si="200"/>
        <v>1+370.59856534272i</v>
      </c>
      <c r="R394" s="18">
        <f t="shared" si="208"/>
        <v>370.59991450900566</v>
      </c>
      <c r="S394" s="18">
        <f t="shared" si="209"/>
        <v>1.5680979958607835</v>
      </c>
      <c r="T394" s="18" t="str">
        <f t="shared" si="201"/>
        <v>1+0.074119713068544i</v>
      </c>
      <c r="U394" s="18">
        <f t="shared" si="210"/>
        <v>1.0027431036239358</v>
      </c>
      <c r="V394" s="18">
        <f t="shared" si="211"/>
        <v>7.3984427446592907E-2</v>
      </c>
      <c r="W394" s="32" t="str">
        <f t="shared" si="202"/>
        <v>1-3.51101241102759i</v>
      </c>
      <c r="X394" s="18">
        <f t="shared" si="212"/>
        <v>3.6506448951369914</v>
      </c>
      <c r="Y394" s="18">
        <f t="shared" si="213"/>
        <v>-1.2933253822803903</v>
      </c>
      <c r="Z394" s="32" t="str">
        <f t="shared" si="203"/>
        <v>0.89187555216895+0.374667501185845i</v>
      </c>
      <c r="AA394" s="18">
        <f t="shared" si="214"/>
        <v>0.96737672961546617</v>
      </c>
      <c r="AB394" s="18">
        <f t="shared" si="215"/>
        <v>0.39770401758502855</v>
      </c>
      <c r="AC394" s="69" t="str">
        <f t="shared" si="216"/>
        <v>-1.25159459825217+0.0545418248641546i</v>
      </c>
      <c r="AD394" s="67">
        <f t="shared" si="217"/>
        <v>1.9575131662983394</v>
      </c>
      <c r="AE394" s="64">
        <f t="shared" si="218"/>
        <v>177.50475077180698</v>
      </c>
      <c r="AF394" s="32" t="str">
        <f t="shared" si="204"/>
        <v>-0.0000198412698412698</v>
      </c>
      <c r="AG394" s="32" t="str">
        <f t="shared" si="205"/>
        <v>0.0125099613276664i</v>
      </c>
      <c r="AH394" s="32">
        <f t="shared" si="219"/>
        <v>1.2509961327666399E-2</v>
      </c>
      <c r="AI394" s="32">
        <f t="shared" si="220"/>
        <v>1.5707963267948966</v>
      </c>
      <c r="AJ394" s="32" t="str">
        <f t="shared" si="206"/>
        <v>1+4.34222601010158i</v>
      </c>
      <c r="AK394" s="32">
        <f t="shared" si="221"/>
        <v>4.4558867493241667</v>
      </c>
      <c r="AL394" s="32">
        <f t="shared" si="222"/>
        <v>1.344446234082191</v>
      </c>
      <c r="AM394" s="32" t="str">
        <f t="shared" si="207"/>
        <v>1+93.9006374684466i</v>
      </c>
      <c r="AN394" s="32">
        <f t="shared" si="223"/>
        <v>93.905962094963058</v>
      </c>
      <c r="AO394" s="32">
        <f t="shared" si="224"/>
        <v>1.5601471744015702</v>
      </c>
      <c r="AP394" s="61" t="str">
        <f t="shared" si="225"/>
        <v>-0.00715404371352981+0.0326505123543253i</v>
      </c>
      <c r="AQ394" s="52">
        <f t="shared" si="226"/>
        <v>-29.51854962728785</v>
      </c>
      <c r="AR394" s="64">
        <f t="shared" si="227"/>
        <v>102.35875351730373</v>
      </c>
      <c r="AS394" s="61" t="str">
        <f t="shared" si="228"/>
        <v>0.00717314394095928-0.0412553994921331i</v>
      </c>
      <c r="AT394" s="67">
        <f t="shared" si="229"/>
        <v>-27.56103646098952</v>
      </c>
      <c r="AU394" s="64">
        <f t="shared" si="230"/>
        <v>-80.136495710889278</v>
      </c>
    </row>
    <row r="395" spans="14:47" x14ac:dyDescent="0.25">
      <c r="N395" s="11">
        <v>77</v>
      </c>
      <c r="O395" s="53">
        <f t="shared" si="231"/>
        <v>58884.365535558936</v>
      </c>
      <c r="P395" s="51" t="str">
        <f t="shared" si="199"/>
        <v>122.692307692308</v>
      </c>
      <c r="Q395" s="18" t="str">
        <f t="shared" si="200"/>
        <v>1+379.230914864506i</v>
      </c>
      <c r="R395" s="18">
        <f t="shared" si="208"/>
        <v>379.23223332012566</v>
      </c>
      <c r="S395" s="18">
        <f t="shared" si="209"/>
        <v>1.568159417083588</v>
      </c>
      <c r="T395" s="18" t="str">
        <f t="shared" si="201"/>
        <v>1+0.0758461829729014i</v>
      </c>
      <c r="U395" s="18">
        <f t="shared" si="210"/>
        <v>1.0028721969780392</v>
      </c>
      <c r="V395" s="18">
        <f t="shared" si="211"/>
        <v>7.5701244230405113E-2</v>
      </c>
      <c r="W395" s="32" t="str">
        <f t="shared" si="202"/>
        <v>1-3.59279439601529i</v>
      </c>
      <c r="X395" s="18">
        <f t="shared" si="212"/>
        <v>3.729366108608656</v>
      </c>
      <c r="Y395" s="18">
        <f t="shared" si="213"/>
        <v>-1.2993323548542601</v>
      </c>
      <c r="Z395" s="32" t="str">
        <f t="shared" si="203"/>
        <v>0.886779803933867+0.383394628398816i</v>
      </c>
      <c r="AA395" s="18">
        <f t="shared" si="214"/>
        <v>0.96611068814606005</v>
      </c>
      <c r="AB395" s="18">
        <f t="shared" si="215"/>
        <v>0.40807526629548285</v>
      </c>
      <c r="AC395" s="69" t="str">
        <f t="shared" si="216"/>
        <v>-1.25033969304589+0.0729438057204264i</v>
      </c>
      <c r="AD395" s="67">
        <f t="shared" si="217"/>
        <v>1.9553163161414944</v>
      </c>
      <c r="AE395" s="64">
        <f t="shared" si="218"/>
        <v>176.66119499535429</v>
      </c>
      <c r="AF395" s="32" t="str">
        <f t="shared" si="204"/>
        <v>-0.0000198412698412698</v>
      </c>
      <c r="AG395" s="32" t="str">
        <f t="shared" si="205"/>
        <v>0.0128013557603043i</v>
      </c>
      <c r="AH395" s="32">
        <f t="shared" si="219"/>
        <v>1.2801355760304301E-2</v>
      </c>
      <c r="AI395" s="32">
        <f t="shared" si="220"/>
        <v>1.5707963267948966</v>
      </c>
      <c r="AJ395" s="32" t="str">
        <f t="shared" si="206"/>
        <v>1+4.44336944703616i</v>
      </c>
      <c r="AK395" s="32">
        <f t="shared" si="221"/>
        <v>4.5545067837093436</v>
      </c>
      <c r="AL395" s="32">
        <f t="shared" si="222"/>
        <v>1.3494300731199618</v>
      </c>
      <c r="AM395" s="32" t="str">
        <f t="shared" si="207"/>
        <v>1+96.087864292157i</v>
      </c>
      <c r="AN395" s="32">
        <f t="shared" si="223"/>
        <v>96.093067722016144</v>
      </c>
      <c r="AO395" s="32">
        <f t="shared" si="224"/>
        <v>1.5603895609993657</v>
      </c>
      <c r="AP395" s="61" t="str">
        <f t="shared" si="225"/>
        <v>-0.00684758089463316+0.0319762667724519i</v>
      </c>
      <c r="AQ395" s="52">
        <f t="shared" si="226"/>
        <v>-29.708715972679244</v>
      </c>
      <c r="AR395" s="64">
        <f t="shared" si="227"/>
        <v>102.08708830373109</v>
      </c>
      <c r="AS395" s="61" t="str">
        <f t="shared" si="228"/>
        <v>0.00622933160278827-0.040480684191454i</v>
      </c>
      <c r="AT395" s="67">
        <f t="shared" si="229"/>
        <v>-27.753399656537749</v>
      </c>
      <c r="AU395" s="64">
        <f t="shared" si="230"/>
        <v>-81.251716700914585</v>
      </c>
    </row>
    <row r="396" spans="14:47" x14ac:dyDescent="0.25">
      <c r="N396" s="11">
        <v>78</v>
      </c>
      <c r="O396" s="53">
        <f t="shared" si="231"/>
        <v>60255.95860743591</v>
      </c>
      <c r="P396" s="51" t="str">
        <f t="shared" si="199"/>
        <v>122.692307692308</v>
      </c>
      <c r="Q396" s="18" t="str">
        <f t="shared" si="200"/>
        <v>1+388.06433763707i</v>
      </c>
      <c r="R396" s="18">
        <f t="shared" si="208"/>
        <v>388.06562608107657</v>
      </c>
      <c r="S396" s="18">
        <f t="shared" si="209"/>
        <v>1.5682194402078944</v>
      </c>
      <c r="T396" s="18" t="str">
        <f t="shared" si="201"/>
        <v>1+0.077612867527414i</v>
      </c>
      <c r="U396" s="18">
        <f t="shared" si="210"/>
        <v>1.0030073565063358</v>
      </c>
      <c r="V396" s="18">
        <f t="shared" si="211"/>
        <v>7.7457588005245465E-2</v>
      </c>
      <c r="W396" s="32" t="str">
        <f t="shared" si="202"/>
        <v>1-3.67648132814802i</v>
      </c>
      <c r="X396" s="18">
        <f t="shared" si="212"/>
        <v>3.8100544558078209</v>
      </c>
      <c r="Y396" s="18">
        <f t="shared" si="213"/>
        <v>-1.3052220654539302</v>
      </c>
      <c r="Z396" s="32" t="str">
        <f t="shared" si="203"/>
        <v>0.881443900483232+0.392325036518593i</v>
      </c>
      <c r="AA396" s="18">
        <f t="shared" si="214"/>
        <v>0.96481204593351189</v>
      </c>
      <c r="AB396" s="18">
        <f t="shared" si="215"/>
        <v>0.41876627508760644</v>
      </c>
      <c r="AC396" s="69" t="str">
        <f t="shared" si="216"/>
        <v>-1.24893986426634+0.0915327204676646i</v>
      </c>
      <c r="AD396" s="67">
        <f t="shared" si="217"/>
        <v>1.9540948715327309</v>
      </c>
      <c r="AE396" s="64">
        <f t="shared" si="218"/>
        <v>175.80838176689016</v>
      </c>
      <c r="AF396" s="32" t="str">
        <f t="shared" si="204"/>
        <v>-0.0000198412698412698</v>
      </c>
      <c r="AG396" s="32" t="str">
        <f t="shared" si="205"/>
        <v>0.0130995376412123i</v>
      </c>
      <c r="AH396" s="32">
        <f t="shared" si="219"/>
        <v>1.30995376412123E-2</v>
      </c>
      <c r="AI396" s="32">
        <f t="shared" si="220"/>
        <v>1.5707963267948966</v>
      </c>
      <c r="AJ396" s="32" t="str">
        <f t="shared" si="206"/>
        <v>1+4.54686881726653i</v>
      </c>
      <c r="AK396" s="32">
        <f t="shared" si="221"/>
        <v>4.6555360638094863</v>
      </c>
      <c r="AL396" s="32">
        <f t="shared" si="222"/>
        <v>1.3543112931342394</v>
      </c>
      <c r="AM396" s="32" t="str">
        <f t="shared" si="207"/>
        <v>1+98.3260381733886i</v>
      </c>
      <c r="AN396" s="32">
        <f t="shared" si="223"/>
        <v>98.331123164920029</v>
      </c>
      <c r="AO396" s="32">
        <f t="shared" si="224"/>
        <v>1.5606264313862352</v>
      </c>
      <c r="AP396" s="61" t="str">
        <f t="shared" si="225"/>
        <v>-0.00655360840521386+0.0313130519085446i</v>
      </c>
      <c r="AQ396" s="52">
        <f t="shared" si="226"/>
        <v>-29.899303980148101</v>
      </c>
      <c r="AR396" s="64">
        <f t="shared" si="227"/>
        <v>101.82098667149744</v>
      </c>
      <c r="AS396" s="61" t="str">
        <f t="shared" si="228"/>
        <v>0.00531889396472826-0.0397079884066315i</v>
      </c>
      <c r="AT396" s="67">
        <f t="shared" si="229"/>
        <v>-27.94520910861538</v>
      </c>
      <c r="AU396" s="64">
        <f t="shared" si="230"/>
        <v>-82.37063156161237</v>
      </c>
    </row>
    <row r="397" spans="14:47" x14ac:dyDescent="0.25">
      <c r="N397" s="11">
        <v>79</v>
      </c>
      <c r="O397" s="53">
        <f t="shared" si="231"/>
        <v>61659.500186148245</v>
      </c>
      <c r="P397" s="51" t="str">
        <f t="shared" si="199"/>
        <v>122.692307692308</v>
      </c>
      <c r="Q397" s="18" t="str">
        <f t="shared" si="200"/>
        <v>1+397.103517258085i</v>
      </c>
      <c r="R397" s="18">
        <f t="shared" si="208"/>
        <v>397.1047763736193</v>
      </c>
      <c r="S397" s="18">
        <f t="shared" si="209"/>
        <v>1.5682780970570265</v>
      </c>
      <c r="T397" s="18" t="str">
        <f t="shared" si="201"/>
        <v>1+0.0794207034516171i</v>
      </c>
      <c r="U397" s="18">
        <f t="shared" si="210"/>
        <v>1.0031488663886081</v>
      </c>
      <c r="V397" s="18">
        <f t="shared" si="211"/>
        <v>7.9254346640639753E-2</v>
      </c>
      <c r="W397" s="32" t="str">
        <f t="shared" si="202"/>
        <v>1-3.7621175793449i</v>
      </c>
      <c r="X397" s="18">
        <f t="shared" si="212"/>
        <v>3.892753354736969</v>
      </c>
      <c r="Y397" s="18">
        <f t="shared" si="213"/>
        <v>-1.3109960017758124</v>
      </c>
      <c r="Z397" s="32" t="str">
        <f t="shared" si="203"/>
        <v>0.875856523650429+0.401463460565767i</v>
      </c>
      <c r="AA397" s="18">
        <f t="shared" si="214"/>
        <v>0.96348199785489275</v>
      </c>
      <c r="AB397" s="18">
        <f t="shared" si="215"/>
        <v>0.42978984928756486</v>
      </c>
      <c r="AC397" s="69" t="str">
        <f t="shared" si="216"/>
        <v>-1.24738009054813+0.110326408196802i</v>
      </c>
      <c r="AD397" s="67">
        <f t="shared" si="217"/>
        <v>1.9538178830240533</v>
      </c>
      <c r="AE397" s="64">
        <f t="shared" si="218"/>
        <v>174.94554120437911</v>
      </c>
      <c r="AF397" s="32" t="str">
        <f t="shared" si="204"/>
        <v>-0.0000198412698412698</v>
      </c>
      <c r="AG397" s="32" t="str">
        <f t="shared" si="205"/>
        <v>0.0134046650703705i</v>
      </c>
      <c r="AH397" s="32">
        <f t="shared" si="219"/>
        <v>1.3404665070370501E-2</v>
      </c>
      <c r="AI397" s="32">
        <f t="shared" si="220"/>
        <v>1.5707963267948966</v>
      </c>
      <c r="AJ397" s="32" t="str">
        <f t="shared" si="206"/>
        <v>1+4.65277899752871i</v>
      </c>
      <c r="AK397" s="32">
        <f t="shared" si="221"/>
        <v>4.7590285142919946</v>
      </c>
      <c r="AL397" s="32">
        <f t="shared" si="222"/>
        <v>1.3590915513772466</v>
      </c>
      <c r="AM397" s="32" t="str">
        <f t="shared" si="207"/>
        <v>1+100.616345821558i</v>
      </c>
      <c r="AN397" s="32">
        <f t="shared" si="223"/>
        <v>100.62131507033365</v>
      </c>
      <c r="AO397" s="32">
        <f t="shared" si="224"/>
        <v>1.5608579110476106</v>
      </c>
      <c r="AP397" s="61" t="str">
        <f t="shared" si="225"/>
        <v>-0.00627167094524884+0.0306608753246491i</v>
      </c>
      <c r="AQ397" s="52">
        <f t="shared" si="226"/>
        <v>-30.090296429836503</v>
      </c>
      <c r="AR397" s="64">
        <f t="shared" si="227"/>
        <v>101.56036085683048</v>
      </c>
      <c r="AS397" s="61" t="str">
        <f t="shared" si="228"/>
        <v>0.00444045322483408-0.0389376963675273i</v>
      </c>
      <c r="AT397" s="67">
        <f t="shared" si="229"/>
        <v>-28.136478546812441</v>
      </c>
      <c r="AU397" s="64">
        <f t="shared" si="230"/>
        <v>-83.494097938790404</v>
      </c>
    </row>
    <row r="398" spans="14:47" x14ac:dyDescent="0.25">
      <c r="N398" s="11">
        <v>80</v>
      </c>
      <c r="O398" s="53">
        <f t="shared" si="231"/>
        <v>63095.734448019342</v>
      </c>
      <c r="P398" s="51" t="str">
        <f t="shared" si="199"/>
        <v>122.692307692308</v>
      </c>
      <c r="Q398" s="18" t="str">
        <f t="shared" si="200"/>
        <v>1+406.353246420237i</v>
      </c>
      <c r="R398" s="18">
        <f t="shared" si="208"/>
        <v>406.35447687489039</v>
      </c>
      <c r="S398" s="18">
        <f t="shared" si="209"/>
        <v>1.5683354187300069</v>
      </c>
      <c r="T398" s="18" t="str">
        <f t="shared" si="201"/>
        <v>1+0.0812706492840476i</v>
      </c>
      <c r="U398" s="18">
        <f t="shared" si="210"/>
        <v>1.0032970240337857</v>
      </c>
      <c r="V398" s="18">
        <f t="shared" si="211"/>
        <v>8.1092426371484921E-2</v>
      </c>
      <c r="W398" s="32" t="str">
        <f t="shared" si="202"/>
        <v>1-3.84974855507987i</v>
      </c>
      <c r="X398" s="18">
        <f t="shared" si="212"/>
        <v>3.9775072517016916</v>
      </c>
      <c r="Y398" s="18">
        <f t="shared" si="213"/>
        <v>-1.3166556846619124</v>
      </c>
      <c r="Z398" s="32" t="str">
        <f t="shared" si="203"/>
        <v>0.870005821860083+0.410814745853729i</v>
      </c>
      <c r="AA398" s="18">
        <f t="shared" si="214"/>
        <v>0.96212207410562123</v>
      </c>
      <c r="AB398" s="18">
        <f t="shared" si="215"/>
        <v>0.44115942716522805</v>
      </c>
      <c r="AC398" s="69" t="str">
        <f t="shared" si="216"/>
        <v>-1.24564379626887+0.129342969508071i</v>
      </c>
      <c r="AD398" s="67">
        <f t="shared" si="217"/>
        <v>1.9544522319656024</v>
      </c>
      <c r="AE398" s="64">
        <f t="shared" si="218"/>
        <v>174.07186635543744</v>
      </c>
      <c r="AF398" s="32" t="str">
        <f t="shared" si="204"/>
        <v>-0.0000198412698412698</v>
      </c>
      <c r="AG398" s="32" t="str">
        <f t="shared" si="205"/>
        <v>0.0137168998303807i</v>
      </c>
      <c r="AH398" s="32">
        <f t="shared" si="219"/>
        <v>1.3716899830380699E-2</v>
      </c>
      <c r="AI398" s="32">
        <f t="shared" si="220"/>
        <v>1.5707963267948966</v>
      </c>
      <c r="AJ398" s="32" t="str">
        <f t="shared" si="206"/>
        <v>1+4.76115614280219i</v>
      </c>
      <c r="AK398" s="32">
        <f t="shared" si="221"/>
        <v>4.8650393437405031</v>
      </c>
      <c r="AL398" s="32">
        <f t="shared" si="222"/>
        <v>1.3637725081386323</v>
      </c>
      <c r="AM398" s="32" t="str">
        <f t="shared" si="207"/>
        <v>1+102.960001588097i</v>
      </c>
      <c r="AN398" s="32">
        <f t="shared" si="223"/>
        <v>102.96485772835767</v>
      </c>
      <c r="AO398" s="32">
        <f t="shared" si="224"/>
        <v>1.5610841226177887</v>
      </c>
      <c r="AP398" s="61" t="str">
        <f t="shared" si="225"/>
        <v>-0.00600132524934485+0.0300197301170966i</v>
      </c>
      <c r="AQ398" s="52">
        <f t="shared" si="226"/>
        <v>-30.281676732481316</v>
      </c>
      <c r="AR398" s="64">
        <f t="shared" si="227"/>
        <v>101.30512275856802</v>
      </c>
      <c r="AS398" s="61" t="str">
        <f t="shared" si="228"/>
        <v>0.003592672529062-0.0381701198147612i</v>
      </c>
      <c r="AT398" s="67">
        <f t="shared" si="229"/>
        <v>-28.327224500515712</v>
      </c>
      <c r="AU398" s="64">
        <f t="shared" si="230"/>
        <v>-84.623010885994546</v>
      </c>
    </row>
    <row r="399" spans="14:47" x14ac:dyDescent="0.25">
      <c r="N399" s="11">
        <v>81</v>
      </c>
      <c r="O399" s="53">
        <f t="shared" si="231"/>
        <v>64565.422903465682</v>
      </c>
      <c r="P399" s="51" t="str">
        <f t="shared" si="199"/>
        <v>122.692307692308</v>
      </c>
      <c r="Q399" s="18" t="str">
        <f t="shared" si="200"/>
        <v>1+415.818429452364i</v>
      </c>
      <c r="R399" s="18">
        <f t="shared" si="208"/>
        <v>415.81963189853195</v>
      </c>
      <c r="S399" s="18">
        <f t="shared" si="209"/>
        <v>1.5683914356180375</v>
      </c>
      <c r="T399" s="18" t="str">
        <f t="shared" si="201"/>
        <v>1+0.0831636858904729i</v>
      </c>
      <c r="U399" s="18">
        <f t="shared" si="210"/>
        <v>1.0034521406877805</v>
      </c>
      <c r="V399" s="18">
        <f t="shared" si="211"/>
        <v>8.2972752064118374E-2</v>
      </c>
      <c r="W399" s="32" t="str">
        <f t="shared" si="202"/>
        <v>1-3.9394207184562i</v>
      </c>
      <c r="X399" s="18">
        <f t="shared" si="212"/>
        <v>4.0643616469258683</v>
      </c>
      <c r="Y399" s="18">
        <f t="shared" si="213"/>
        <v>-1.3222026640220879</v>
      </c>
      <c r="Z399" s="32" t="str">
        <f t="shared" si="203"/>
        <v>0.863879384989278+0.420383850557721i</v>
      </c>
      <c r="AA399" s="18">
        <f t="shared" si="214"/>
        <v>0.96073418468335425</v>
      </c>
      <c r="AB399" s="18">
        <f t="shared" si="215"/>
        <v>0.45288910909662572</v>
      </c>
      <c r="AC399" s="69" t="str">
        <f t="shared" si="216"/>
        <v>-1.24371270070486+0.148600719553614i</v>
      </c>
      <c r="AD399" s="67">
        <f t="shared" si="217"/>
        <v>1.9559621960566063</v>
      </c>
      <c r="AE399" s="64">
        <f t="shared" si="218"/>
        <v>173.18651177438537</v>
      </c>
      <c r="AF399" s="32" t="str">
        <f t="shared" si="204"/>
        <v>-0.0000198412698412698</v>
      </c>
      <c r="AG399" s="32" t="str">
        <f t="shared" si="205"/>
        <v>0.0140364074722457i</v>
      </c>
      <c r="AH399" s="32">
        <f t="shared" si="219"/>
        <v>1.40364074722457E-2</v>
      </c>
      <c r="AI399" s="32">
        <f t="shared" si="220"/>
        <v>1.5707963267948966</v>
      </c>
      <c r="AJ399" s="32" t="str">
        <f t="shared" si="206"/>
        <v>1+4.87205771608396i</v>
      </c>
      <c r="AK399" s="32">
        <f t="shared" si="221"/>
        <v>4.9736250752196076</v>
      </c>
      <c r="AL399" s="32">
        <f t="shared" si="222"/>
        <v>1.3683558244133167</v>
      </c>
      <c r="AM399" s="32" t="str">
        <f t="shared" si="207"/>
        <v>1+105.358248110316i</v>
      </c>
      <c r="AN399" s="32">
        <f t="shared" si="223"/>
        <v>105.36299371636564</v>
      </c>
      <c r="AO399" s="32">
        <f t="shared" si="224"/>
        <v>1.5613051859444802</v>
      </c>
      <c r="AP399" s="61" t="str">
        <f t="shared" si="225"/>
        <v>-0.00574214017652021+0.0293895959098355i</v>
      </c>
      <c r="AQ399" s="52">
        <f t="shared" si="226"/>
        <v>-30.473428912491507</v>
      </c>
      <c r="AR399" s="64">
        <f t="shared" si="227"/>
        <v>101.05518407547954</v>
      </c>
      <c r="AS399" s="61" t="str">
        <f t="shared" si="228"/>
        <v>0.00277425756717433-0.0374054998636546i</v>
      </c>
      <c r="AT399" s="67">
        <f t="shared" si="229"/>
        <v>-28.51746671643491</v>
      </c>
      <c r="AU399" s="64">
        <f t="shared" si="230"/>
        <v>-85.758304150135089</v>
      </c>
    </row>
    <row r="400" spans="14:47" x14ac:dyDescent="0.25">
      <c r="N400" s="11">
        <v>82</v>
      </c>
      <c r="O400" s="53">
        <f t="shared" si="231"/>
        <v>66069.344800759733</v>
      </c>
      <c r="P400" s="51" t="str">
        <f t="shared" si="199"/>
        <v>122.692307692308</v>
      </c>
      <c r="Q400" s="18" t="str">
        <f t="shared" si="200"/>
        <v>1+425.504084919794i</v>
      </c>
      <c r="R400" s="18">
        <f t="shared" si="208"/>
        <v>425.50525999502202</v>
      </c>
      <c r="S400" s="18">
        <f t="shared" si="209"/>
        <v>1.5684461774206069</v>
      </c>
      <c r="T400" s="18" t="str">
        <f t="shared" si="201"/>
        <v>1+0.0851008169839589i</v>
      </c>
      <c r="U400" s="18">
        <f t="shared" si="210"/>
        <v>1.0036145420684861</v>
      </c>
      <c r="V400" s="18">
        <f t="shared" si="211"/>
        <v>8.4896267477489545E-2</v>
      </c>
      <c r="W400" s="32" t="str">
        <f t="shared" si="202"/>
        <v>1-4.03118161484184i</v>
      </c>
      <c r="X400" s="18">
        <f t="shared" si="212"/>
        <v>4.1533631206335508</v>
      </c>
      <c r="Y400" s="18">
        <f t="shared" si="213"/>
        <v>-1.3276385149648366</v>
      </c>
      <c r="Z400" s="32" t="str">
        <f t="shared" si="203"/>
        <v>0.857464218044027+0.430175848343716i</v>
      </c>
      <c r="AA400" s="18">
        <f t="shared" si="214"/>
        <v>0.95932066887151479</v>
      </c>
      <c r="AB400" s="18">
        <f t="shared" si="215"/>
        <v>0.46499368663460511</v>
      </c>
      <c r="AC400" s="69" t="str">
        <f t="shared" si="216"/>
        <v>-1.24156665476391+0.168118126373112i</v>
      </c>
      <c r="AD400" s="67">
        <f t="shared" si="217"/>
        <v>1.9583089639024824</v>
      </c>
      <c r="AE400" s="64">
        <f t="shared" si="218"/>
        <v>172.28859209235307</v>
      </c>
      <c r="AF400" s="32" t="str">
        <f t="shared" si="204"/>
        <v>-0.0000198412698412698</v>
      </c>
      <c r="AG400" s="32" t="str">
        <f t="shared" si="205"/>
        <v>0.0143633574031462i</v>
      </c>
      <c r="AH400" s="32">
        <f t="shared" si="219"/>
        <v>1.4363357403146201E-2</v>
      </c>
      <c r="AI400" s="32">
        <f t="shared" si="220"/>
        <v>1.5707963267948966</v>
      </c>
      <c r="AJ400" s="32" t="str">
        <f t="shared" si="206"/>
        <v>1+4.9855425188561i</v>
      </c>
      <c r="AK400" s="32">
        <f t="shared" si="221"/>
        <v>5.0848435774684377</v>
      </c>
      <c r="AL400" s="32">
        <f t="shared" si="222"/>
        <v>1.3728431597286859</v>
      </c>
      <c r="AM400" s="32" t="str">
        <f t="shared" si="207"/>
        <v>1+107.812356970263i</v>
      </c>
      <c r="AN400" s="32">
        <f t="shared" si="223"/>
        <v>107.81699455783126</v>
      </c>
      <c r="AO400" s="32">
        <f t="shared" si="224"/>
        <v>1.561521218151912</v>
      </c>
      <c r="AP400" s="61" t="str">
        <f t="shared" si="225"/>
        <v>-0.00549369675347727+0.0287704398078341i</v>
      </c>
      <c r="AQ400" s="52">
        <f t="shared" si="226"/>
        <v>-30.665537590927197</v>
      </c>
      <c r="AR400" s="64">
        <f t="shared" si="227"/>
        <v>100.81045643437359</v>
      </c>
      <c r="AS400" s="61" t="str">
        <f t="shared" si="228"/>
        <v>0.00198395826507866-0.0366440087133557i</v>
      </c>
      <c r="AT400" s="67">
        <f t="shared" si="229"/>
        <v>-28.707228627024705</v>
      </c>
      <c r="AU400" s="64">
        <f t="shared" si="230"/>
        <v>-86.900951473273338</v>
      </c>
    </row>
    <row r="401" spans="14:47" x14ac:dyDescent="0.25">
      <c r="N401" s="11">
        <v>83</v>
      </c>
      <c r="O401" s="53">
        <f t="shared" si="231"/>
        <v>67608.297539198305</v>
      </c>
      <c r="P401" s="51" t="str">
        <f t="shared" si="199"/>
        <v>122.692307692308</v>
      </c>
      <c r="Q401" s="18" t="str">
        <f t="shared" si="200"/>
        <v>1+435.41534828526i</v>
      </c>
      <c r="R401" s="18">
        <f t="shared" si="208"/>
        <v>435.41649661258151</v>
      </c>
      <c r="S401" s="18">
        <f t="shared" si="209"/>
        <v>1.5684996731612304</v>
      </c>
      <c r="T401" s="18" t="str">
        <f t="shared" si="201"/>
        <v>1+0.0870830696570521i</v>
      </c>
      <c r="U401" s="18">
        <f t="shared" si="210"/>
        <v>1.0037845690290794</v>
      </c>
      <c r="V401" s="18">
        <f t="shared" si="211"/>
        <v>8.6863935518581153E-2</v>
      </c>
      <c r="W401" s="32" t="str">
        <f t="shared" si="202"/>
        <v>1-4.12507989707867i</v>
      </c>
      <c r="X401" s="18">
        <f t="shared" si="212"/>
        <v>4.2445593596135014</v>
      </c>
      <c r="Y401" s="18">
        <f t="shared" si="213"/>
        <v>-1.3329648341331897</v>
      </c>
      <c r="Z401" s="32" t="str">
        <f t="shared" si="203"/>
        <v>0.850746713595142+0.440195931058553i</v>
      </c>
      <c r="AA401" s="18">
        <f t="shared" si="214"/>
        <v>0.95788435022889939</v>
      </c>
      <c r="AB401" s="18">
        <f t="shared" si="215"/>
        <v>0.47748867110154264</v>
      </c>
      <c r="AC401" s="69" t="str">
        <f t="shared" si="216"/>
        <v>-1.23918346492744+0.187913731797702i</v>
      </c>
      <c r="AD401" s="67">
        <f t="shared" si="217"/>
        <v>1.9614500935851553</v>
      </c>
      <c r="AE401" s="64">
        <f t="shared" si="218"/>
        <v>171.37718060270743</v>
      </c>
      <c r="AF401" s="32" t="str">
        <f t="shared" si="204"/>
        <v>-0.0000198412698412698</v>
      </c>
      <c r="AG401" s="32" t="str">
        <f t="shared" si="205"/>
        <v>0.0146979229762634i</v>
      </c>
      <c r="AH401" s="32">
        <f t="shared" si="219"/>
        <v>1.46979229762634E-2</v>
      </c>
      <c r="AI401" s="32">
        <f t="shared" si="220"/>
        <v>1.5707963267948966</v>
      </c>
      <c r="AJ401" s="32" t="str">
        <f t="shared" si="206"/>
        <v>1+5.10167072226318i</v>
      </c>
      <c r="AK401" s="32">
        <f t="shared" si="221"/>
        <v>5.1987540967425376</v>
      </c>
      <c r="AL401" s="32">
        <f t="shared" si="222"/>
        <v>1.3772361701246041</v>
      </c>
      <c r="AM401" s="32" t="str">
        <f t="shared" si="207"/>
        <v>1+110.323629368941i</v>
      </c>
      <c r="AN401" s="32">
        <f t="shared" si="223"/>
        <v>110.32816139651499</v>
      </c>
      <c r="AO401" s="32">
        <f t="shared" si="224"/>
        <v>1.5617323337025162</v>
      </c>
      <c r="AP401" s="61" t="str">
        <f t="shared" si="225"/>
        <v>-0.00525558817573203+0.0281622173102845i</v>
      </c>
      <c r="AQ401" s="52">
        <f t="shared" si="226"/>
        <v>-30.857987968444959</v>
      </c>
      <c r="AR401" s="64">
        <f t="shared" si="227"/>
        <v>100.57085150936959</v>
      </c>
      <c r="AS401" s="61" t="str">
        <f t="shared" si="228"/>
        <v>0.0012205706153619-0.0358857512134916i</v>
      </c>
      <c r="AT401" s="67">
        <f t="shared" si="229"/>
        <v>-28.896537874859792</v>
      </c>
      <c r="AU401" s="64">
        <f t="shared" si="230"/>
        <v>-88.051967887922984</v>
      </c>
    </row>
    <row r="402" spans="14:47" x14ac:dyDescent="0.25">
      <c r="N402" s="11">
        <v>84</v>
      </c>
      <c r="O402" s="53">
        <f t="shared" si="231"/>
        <v>69183.097091893651</v>
      </c>
      <c r="P402" s="51" t="str">
        <f t="shared" si="199"/>
        <v>122.692307692308</v>
      </c>
      <c r="Q402" s="18" t="str">
        <f t="shared" si="200"/>
        <v>1+445.557474631789i</v>
      </c>
      <c r="R402" s="18">
        <f t="shared" si="208"/>
        <v>445.5585968200561</v>
      </c>
      <c r="S402" s="18">
        <f t="shared" si="209"/>
        <v>1.5685519512028321</v>
      </c>
      <c r="T402" s="18" t="str">
        <f t="shared" si="201"/>
        <v>1+0.0891114949263579i</v>
      </c>
      <c r="U402" s="18">
        <f t="shared" si="210"/>
        <v>1.0039625782508084</v>
      </c>
      <c r="V402" s="18">
        <f t="shared" si="211"/>
        <v>8.8876738491162233E-2</v>
      </c>
      <c r="W402" s="32" t="str">
        <f t="shared" si="202"/>
        <v>1-4.22116535127881i</v>
      </c>
      <c r="X402" s="18">
        <f t="shared" si="212"/>
        <v>4.33799918428263</v>
      </c>
      <c r="Y402" s="18">
        <f t="shared" si="213"/>
        <v>-1.3381832362416046</v>
      </c>
      <c r="Z402" s="32" t="str">
        <f t="shared" si="203"/>
        <v>0.843712622915057+0.450449411482718i</v>
      </c>
      <c r="AA402" s="18">
        <f t="shared" si="214"/>
        <v>0.95642859763357768</v>
      </c>
      <c r="AB402" s="18">
        <f t="shared" si="215"/>
        <v>0.49039032122479415</v>
      </c>
      <c r="AC402" s="69" t="str">
        <f t="shared" si="216"/>
        <v>-1.23653870423182+0.208006051784422i</v>
      </c>
      <c r="AD402" s="67">
        <f t="shared" si="217"/>
        <v>1.9653389098929985</v>
      </c>
      <c r="AE402" s="64">
        <f t="shared" si="218"/>
        <v>170.45130788945167</v>
      </c>
      <c r="AF402" s="32" t="str">
        <f t="shared" si="204"/>
        <v>-0.0000198412698412698</v>
      </c>
      <c r="AG402" s="32" t="str">
        <f t="shared" si="205"/>
        <v>0.0150402815826926i</v>
      </c>
      <c r="AH402" s="32">
        <f t="shared" si="219"/>
        <v>1.50402815826926E-2</v>
      </c>
      <c r="AI402" s="32">
        <f t="shared" si="220"/>
        <v>1.5707963267948966</v>
      </c>
      <c r="AJ402" s="32" t="str">
        <f t="shared" si="206"/>
        <v>1+5.22050389901579i</v>
      </c>
      <c r="AK402" s="32">
        <f t="shared" si="221"/>
        <v>5.3154172893234879</v>
      </c>
      <c r="AL402" s="32">
        <f t="shared" si="222"/>
        <v>1.3815365062796789</v>
      </c>
      <c r="AM402" s="32" t="str">
        <f t="shared" si="207"/>
        <v>1+112.893396816217i</v>
      </c>
      <c r="AN402" s="32">
        <f t="shared" si="223"/>
        <v>112.89782568634277</v>
      </c>
      <c r="AO402" s="32">
        <f t="shared" si="224"/>
        <v>1.5619386444572341</v>
      </c>
      <c r="AP402" s="61" t="str">
        <f t="shared" si="225"/>
        <v>-0.00502741977072539+0.0275648731836075i</v>
      </c>
      <c r="AQ402" s="52">
        <f t="shared" si="226"/>
        <v>-31.050765808264437</v>
      </c>
      <c r="AR402" s="64">
        <f t="shared" si="227"/>
        <v>100.33628113270983</v>
      </c>
      <c r="AS402" s="61" t="str">
        <f t="shared" si="228"/>
        <v>0.000482938690061721-0.035130766305944i</v>
      </c>
      <c r="AT402" s="67">
        <f t="shared" si="229"/>
        <v>-29.085426898371438</v>
      </c>
      <c r="AU402" s="64">
        <f t="shared" si="230"/>
        <v>-89.212410977838502</v>
      </c>
    </row>
    <row r="403" spans="14:47" x14ac:dyDescent="0.25">
      <c r="N403" s="11">
        <v>85</v>
      </c>
      <c r="O403" s="53">
        <f t="shared" si="231"/>
        <v>70794.578438413781</v>
      </c>
      <c r="P403" s="51" t="str">
        <f t="shared" ref="P403:P466" si="232">COMPLEX(Adc,0)</f>
        <v>122.692307692308</v>
      </c>
      <c r="Q403" s="18" t="str">
        <f t="shared" ref="Q403:Q466" si="233">IMSUM(COMPLEX(1,0),IMDIV(COMPLEX(0,2*PI()*O403),COMPLEX(wp_lf,0)))</f>
        <v>1+455.935841449019i</v>
      </c>
      <c r="R403" s="18">
        <f t="shared" si="208"/>
        <v>455.93693809322468</v>
      </c>
      <c r="S403" s="18">
        <f t="shared" si="209"/>
        <v>1.5686030392627781</v>
      </c>
      <c r="T403" s="18" t="str">
        <f t="shared" ref="T403:T466" si="234">IMSUM(COMPLEX(1,0),IMDIV(COMPLEX(0,2*PI()*O403),COMPLEX(wz_esr,0)))</f>
        <v>1+0.091187168289804i</v>
      </c>
      <c r="U403" s="18">
        <f t="shared" si="210"/>
        <v>1.0041489429664869</v>
      </c>
      <c r="V403" s="18">
        <f t="shared" si="211"/>
        <v>9.0935678336885761E-2</v>
      </c>
      <c r="W403" s="32" t="str">
        <f t="shared" ref="W403:W466" si="235">IMSUB(COMPLEX(1,0),IMDIV(COMPLEX(0,2*PI()*O403),COMPLEX(wz_rhp,0)))</f>
        <v>1-4.31948892322193i</v>
      </c>
      <c r="X403" s="18">
        <f t="shared" si="212"/>
        <v>4.4337325762653919</v>
      </c>
      <c r="Y403" s="18">
        <f t="shared" si="213"/>
        <v>-1.343295350809202</v>
      </c>
      <c r="Z403" s="32" t="str">
        <f t="shared" ref="Z403:Z466" si="236">IMSUM(COMPLEX(1,0),IMDIV(COMPLEX(0,2*PI()*O403),COMPLEX(Q*(wsl/2),0)),IMDIV(IMPOWER(COMPLEX(0,2*PI()*O403),2),IMPOWER(COMPLEX(wsl/2,0),2)))</f>
        <v>0.836347025754361+0.460941726147255i</v>
      </c>
      <c r="AA403" s="18">
        <f t="shared" si="214"/>
        <v>0.95495739297194671</v>
      </c>
      <c r="AB403" s="18">
        <f t="shared" si="215"/>
        <v>0.50371566922571387</v>
      </c>
      <c r="AC403" s="69" t="str">
        <f t="shared" si="216"/>
        <v>-1.2336055103902+0.22841345258671i</v>
      </c>
      <c r="AD403" s="67">
        <f t="shared" si="217"/>
        <v>1.9699238345121954</v>
      </c>
      <c r="AE403" s="64">
        <f t="shared" si="218"/>
        <v>169.50996053255793</v>
      </c>
      <c r="AF403" s="32" t="str">
        <f t="shared" ref="AF403:AF466" si="237">COMPLEX(Adc_ea,0)</f>
        <v>-0.0000198412698412698</v>
      </c>
      <c r="AG403" s="32" t="str">
        <f t="shared" ref="AG403:AG466" si="238">COMPLEX(0,2*PI()*O403*wp0_ea)</f>
        <v>0.0153906147454986i</v>
      </c>
      <c r="AH403" s="32">
        <f t="shared" si="219"/>
        <v>1.5390614745498601E-2</v>
      </c>
      <c r="AI403" s="32">
        <f t="shared" si="220"/>
        <v>1.5707963267948966</v>
      </c>
      <c r="AJ403" s="32" t="str">
        <f t="shared" ref="AJ403:AJ466" si="239">IMSUM(COMPLEX(1,0),IMDIV(COMPLEX(0,2*PI()*O403),COMPLEX(wp1_ea,0)))</f>
        <v>1+5.34210505603721i</v>
      </c>
      <c r="AK403" s="32">
        <f t="shared" si="221"/>
        <v>5.434895254716352</v>
      </c>
      <c r="AL403" s="32">
        <f t="shared" si="222"/>
        <v>1.3857458117772534</v>
      </c>
      <c r="AM403" s="32" t="str">
        <f t="shared" ref="AM403:AM466" si="240">IMSUM(COMPLEX(1,0),IMDIV(COMPLEX(0,2*PI()*O403),COMPLEX(wz_ea,0)))</f>
        <v>1+115.523021836805i</v>
      </c>
      <c r="AN403" s="32">
        <f t="shared" si="223"/>
        <v>115.52734989735949</v>
      </c>
      <c r="AO403" s="32">
        <f t="shared" si="224"/>
        <v>1.5621402597344665</v>
      </c>
      <c r="AP403" s="61" t="str">
        <f t="shared" si="225"/>
        <v>-0.00480880892679816+0.0269783422944765i</v>
      </c>
      <c r="AQ403" s="52">
        <f t="shared" si="226"/>
        <v>-31.243857419208481</v>
      </c>
      <c r="AR403" s="64">
        <f t="shared" si="227"/>
        <v>100.10665739748839</v>
      </c>
      <c r="AS403" s="61" t="str">
        <f t="shared" si="228"/>
        <v>-0.000230043118035647-0.034379028365459i</v>
      </c>
      <c r="AT403" s="67">
        <f t="shared" si="229"/>
        <v>-29.273933584696273</v>
      </c>
      <c r="AU403" s="64">
        <f t="shared" si="230"/>
        <v>-90.383382069953669</v>
      </c>
    </row>
    <row r="404" spans="14:47" x14ac:dyDescent="0.25">
      <c r="N404" s="11">
        <v>86</v>
      </c>
      <c r="O404" s="53">
        <f t="shared" si="231"/>
        <v>72443.596007499116</v>
      </c>
      <c r="P404" s="51" t="str">
        <f t="shared" si="232"/>
        <v>122.692307692308</v>
      </c>
      <c r="Q404" s="18" t="str">
        <f t="shared" si="233"/>
        <v>1+466.555951484411i</v>
      </c>
      <c r="R404" s="18">
        <f t="shared" ref="R404:R467" si="241">IMABS(Q404)</f>
        <v>466.55702316600491</v>
      </c>
      <c r="S404" s="18">
        <f t="shared" ref="S404:S467" si="242">IMARGUMENT(Q404)</f>
        <v>1.5686529644275669</v>
      </c>
      <c r="T404" s="18" t="str">
        <f t="shared" si="234"/>
        <v>1+0.0933111902968824i</v>
      </c>
      <c r="U404" s="18">
        <f t="shared" ref="U404:U467" si="243">IMABS(T404)</f>
        <v>1.0043440537159669</v>
      </c>
      <c r="V404" s="18">
        <f t="shared" ref="V404:V467" si="244">IMARGUMENT(T404)</f>
        <v>9.3041776867666293E-2</v>
      </c>
      <c r="W404" s="32" t="str">
        <f t="shared" si="235"/>
        <v>1-4.42010274536735i</v>
      </c>
      <c r="X404" s="18">
        <f t="shared" ref="X404:X467" si="245">IMABS(W404)</f>
        <v>4.5318107065061746</v>
      </c>
      <c r="Y404" s="18">
        <f t="shared" ref="Y404:Y467" si="246">IMARGUMENT(W404)</f>
        <v>-1.3483028190841637</v>
      </c>
      <c r="Z404" s="32" t="str">
        <f t="shared" si="236"/>
        <v>0.828634298693952+0.471678438216281i</v>
      </c>
      <c r="AA404" s="18">
        <f t="shared" ref="AA404:AA467" si="247">IMABS(Z404)</f>
        <v>0.95347540610661152</v>
      </c>
      <c r="AB404" s="18">
        <f t="shared" ref="AB404:AB467" si="248">IMARGUMENT(Z404)</f>
        <v>0.51748254464392052</v>
      </c>
      <c r="AC404" s="69" t="str">
        <f t="shared" ref="AC404:AC467" si="249">(IMDIV(IMPRODUCT(P404,T404,W404),IMPRODUCT(Q404,Z404)))</f>
        <v>-1.23035437152178+0.249153998665938i</v>
      </c>
      <c r="AD404" s="67">
        <f t="shared" ref="AD404:AD467" si="250">20*LOG(IMABS(AC404))</f>
        <v>1.9751476431871233</v>
      </c>
      <c r="AE404" s="64">
        <f t="shared" ref="AE404:AE467" si="251">(180/PI())*IMARGUMENT(AC404)</f>
        <v>168.55207993162998</v>
      </c>
      <c r="AF404" s="32" t="str">
        <f t="shared" si="237"/>
        <v>-0.0000198412698412698</v>
      </c>
      <c r="AG404" s="32" t="str">
        <f t="shared" si="238"/>
        <v>0.0157491082159616i</v>
      </c>
      <c r="AH404" s="32">
        <f t="shared" ref="AH404:AH467" si="252">IMABS(AG404)</f>
        <v>1.5749108215961601E-2</v>
      </c>
      <c r="AI404" s="32">
        <f t="shared" ref="AI404:AI467" si="253">IMARGUMENT(AG404)</f>
        <v>1.5707963267948966</v>
      </c>
      <c r="AJ404" s="32" t="str">
        <f t="shared" si="239"/>
        <v>1+5.46653866787047i</v>
      </c>
      <c r="AK404" s="32">
        <f t="shared" ref="AK404:AK467" si="254">IMABS(AJ404)</f>
        <v>5.557251569555139</v>
      </c>
      <c r="AL404" s="32">
        <f t="shared" ref="AL404:AL467" si="255">IMARGUMENT(AJ404)</f>
        <v>1.3898657215046326</v>
      </c>
      <c r="AM404" s="32" t="str">
        <f t="shared" si="240"/>
        <v>1+118.213898692699i</v>
      </c>
      <c r="AN404" s="32">
        <f t="shared" ref="AN404:AN467" si="256">IMABS(AM404)</f>
        <v>118.2181282381332</v>
      </c>
      <c r="AO404" s="32">
        <f t="shared" ref="AO404:AO467" si="257">IMARGUMENT(AM404)</f>
        <v>1.5623372863677014</v>
      </c>
      <c r="AP404" s="61" t="str">
        <f t="shared" ref="AP404:AP467" si="258">IMPRODUCT(AF404,IMDIV(AM404,IMPRODUCT(AG404,AJ404)))</f>
        <v>-0.00459938499167356+0.0264025504032839i</v>
      </c>
      <c r="AQ404" s="52">
        <f t="shared" ref="AQ404:AQ467" si="259">20*LOG(IMABS(AP404))</f>
        <v>-31.437249638860834</v>
      </c>
      <c r="AR404" s="64">
        <f t="shared" ref="AR404:AR467" si="260">(180/PI())*IMARGUMENT(AP404)</f>
        <v>99.881892752670623</v>
      </c>
      <c r="AS404" s="61" t="str">
        <f t="shared" ref="AS404:AS467" si="261">IMPRODUCT(AC404,AP404)</f>
        <v>-0.000919427577139927-0.033630448470084i</v>
      </c>
      <c r="AT404" s="67">
        <f t="shared" ref="AT404:AT467" si="262">20*LOG(IMABS(AS404))</f>
        <v>-29.462101995673727</v>
      </c>
      <c r="AU404" s="64">
        <f t="shared" ref="AU404:AU467" si="263">(180/PI())*IMARGUMENT(AS404)</f>
        <v>-91.566027315699372</v>
      </c>
    </row>
    <row r="405" spans="14:47" x14ac:dyDescent="0.25">
      <c r="N405" s="11">
        <v>87</v>
      </c>
      <c r="O405" s="53">
        <f t="shared" si="231"/>
        <v>74131.024130091857</v>
      </c>
      <c r="P405" s="51" t="str">
        <f t="shared" si="232"/>
        <v>122.692307692308</v>
      </c>
      <c r="Q405" s="18" t="str">
        <f t="shared" si="233"/>
        <v>1+477.423435660878i</v>
      </c>
      <c r="R405" s="18">
        <f t="shared" si="241"/>
        <v>477.42448294807474</v>
      </c>
      <c r="S405" s="18">
        <f t="shared" si="242"/>
        <v>1.5687017531671852</v>
      </c>
      <c r="T405" s="18" t="str">
        <f t="shared" si="234"/>
        <v>1+0.0954846871321757i</v>
      </c>
      <c r="U405" s="18">
        <f t="shared" si="243"/>
        <v>1.0045483191348883</v>
      </c>
      <c r="V405" s="18">
        <f t="shared" si="244"/>
        <v>9.5196075988200637E-2</v>
      </c>
      <c r="W405" s="32" t="str">
        <f t="shared" si="235"/>
        <v>1-4.52306016449533i</v>
      </c>
      <c r="X405" s="18">
        <f t="shared" si="245"/>
        <v>4.6322859639323353</v>
      </c>
      <c r="Y405" s="18">
        <f t="shared" si="246"/>
        <v>-1.3532072911537447</v>
      </c>
      <c r="Z405" s="32" t="str">
        <f t="shared" si="236"/>
        <v>0.820558082005673+0.482665240436652i</v>
      </c>
      <c r="AA405" s="18">
        <f t="shared" si="247"/>
        <v>0.95198807779856143</v>
      </c>
      <c r="AB405" s="18">
        <f t="shared" si="248"/>
        <v>0.53170959502774295</v>
      </c>
      <c r="AC405" s="69" t="str">
        <f t="shared" si="249"/>
        <v>-1.22675290043638+0.270245267710078i</v>
      </c>
      <c r="AD405" s="67">
        <f t="shared" si="250"/>
        <v>1.9809466436307397</v>
      </c>
      <c r="AE405" s="64">
        <f t="shared" si="251"/>
        <v>167.5765612979377</v>
      </c>
      <c r="AF405" s="32" t="str">
        <f t="shared" si="237"/>
        <v>-0.0000198412698412698</v>
      </c>
      <c r="AG405" s="32" t="str">
        <f t="shared" si="238"/>
        <v>0.0161159520720648i</v>
      </c>
      <c r="AH405" s="32">
        <f t="shared" si="252"/>
        <v>1.6115952072064801E-2</v>
      </c>
      <c r="AI405" s="32">
        <f t="shared" si="253"/>
        <v>1.5707963267948966</v>
      </c>
      <c r="AJ405" s="32" t="str">
        <f t="shared" si="239"/>
        <v>1+5.59387071086363i</v>
      </c>
      <c r="AK405" s="32">
        <f t="shared" si="254"/>
        <v>5.6825513222370443</v>
      </c>
      <c r="AL405" s="32">
        <f t="shared" si="255"/>
        <v>1.3938978601791578</v>
      </c>
      <c r="AM405" s="32" t="str">
        <f t="shared" si="240"/>
        <v>1+120.967454122426i</v>
      </c>
      <c r="AN405" s="32">
        <f t="shared" si="256"/>
        <v>120.97158739497981</v>
      </c>
      <c r="AO405" s="32">
        <f t="shared" si="257"/>
        <v>1.5625298287618448</v>
      </c>
      <c r="AP405" s="61" t="str">
        <f t="shared" si="258"/>
        <v>-0.00439878914385277+0.0258374149186327i</v>
      </c>
      <c r="AQ405" s="52">
        <f t="shared" si="259"/>
        <v>-31.630929816884038</v>
      </c>
      <c r="AR405" s="64">
        <f t="shared" si="260"/>
        <v>99.661900090770644</v>
      </c>
      <c r="AS405" s="61" t="str">
        <f t="shared" si="261"/>
        <v>-0.00158621177099281-0.0328848756409915i</v>
      </c>
      <c r="AT405" s="67">
        <f t="shared" si="262"/>
        <v>-29.649983173253311</v>
      </c>
      <c r="AU405" s="64">
        <f t="shared" si="263"/>
        <v>-92.761538611291655</v>
      </c>
    </row>
    <row r="406" spans="14:47" x14ac:dyDescent="0.25">
      <c r="N406" s="11">
        <v>88</v>
      </c>
      <c r="O406" s="53">
        <f t="shared" si="231"/>
        <v>75857.757502918481</v>
      </c>
      <c r="P406" s="51" t="str">
        <f t="shared" si="232"/>
        <v>122.692307692308</v>
      </c>
      <c r="Q406" s="18" t="str">
        <f t="shared" si="233"/>
        <v>1+488.544056062377i</v>
      </c>
      <c r="R406" s="18">
        <f t="shared" si="241"/>
        <v>488.5450795104573</v>
      </c>
      <c r="S406" s="18">
        <f t="shared" si="242"/>
        <v>1.5687494313491392</v>
      </c>
      <c r="T406" s="18" t="str">
        <f t="shared" si="234"/>
        <v>1+0.0977088112124755i</v>
      </c>
      <c r="U406" s="18">
        <f t="shared" si="243"/>
        <v>1.0047621667780666</v>
      </c>
      <c r="V406" s="18">
        <f t="shared" si="244"/>
        <v>9.7399637907405356E-2</v>
      </c>
      <c r="W406" s="32" t="str">
        <f t="shared" si="235"/>
        <v>1-4.6284157699923i</v>
      </c>
      <c r="X406" s="18">
        <f t="shared" si="245"/>
        <v>4.7352119846859457</v>
      </c>
      <c r="Y406" s="18">
        <f t="shared" si="246"/>
        <v>-1.3580104232340167</v>
      </c>
      <c r="Z406" s="32" t="str">
        <f t="shared" si="236"/>
        <v>0.812101244951133+0.49390795815633i</v>
      </c>
      <c r="AA406" s="18">
        <f t="shared" si="247"/>
        <v>0.95050171129847782</v>
      </c>
      <c r="AB406" s="18">
        <f t="shared" si="248"/>
        <v>0.54641630244671413</v>
      </c>
      <c r="AC406" s="69" t="str">
        <f t="shared" si="249"/>
        <v>-1.22276559904517+0.291704127555307i</v>
      </c>
      <c r="AD406" s="67">
        <f t="shared" si="250"/>
        <v>1.9872497678457288</v>
      </c>
      <c r="AE406" s="64">
        <f t="shared" si="251"/>
        <v>166.58225287491871</v>
      </c>
      <c r="AF406" s="32" t="str">
        <f t="shared" si="237"/>
        <v>-0.0000198412698412698</v>
      </c>
      <c r="AG406" s="32" t="str">
        <f t="shared" si="238"/>
        <v>0.0164913408192764i</v>
      </c>
      <c r="AH406" s="32">
        <f t="shared" si="252"/>
        <v>1.64913408192764E-2</v>
      </c>
      <c r="AI406" s="32">
        <f t="shared" si="253"/>
        <v>1.5707963267948966</v>
      </c>
      <c r="AJ406" s="32" t="str">
        <f t="shared" si="239"/>
        <v>1+5.7241686981513i</v>
      </c>
      <c r="AK406" s="32">
        <f t="shared" si="254"/>
        <v>5.8108611483062598</v>
      </c>
      <c r="AL406" s="32">
        <f t="shared" si="255"/>
        <v>1.3978438409948271</v>
      </c>
      <c r="AM406" s="32" t="str">
        <f t="shared" si="240"/>
        <v>1+123.785148097522i</v>
      </c>
      <c r="AN406" s="32">
        <f t="shared" si="256"/>
        <v>123.78918728841163</v>
      </c>
      <c r="AO406" s="32">
        <f t="shared" si="257"/>
        <v>1.5627179889482856</v>
      </c>
      <c r="AP406" s="61" t="str">
        <f t="shared" si="258"/>
        <v>-0.00420667424010114+0.0252828456135932i</v>
      </c>
      <c r="AQ406" s="52">
        <f t="shared" si="259"/>
        <v>-31.824885798531422</v>
      </c>
      <c r="AR406" s="64">
        <f t="shared" si="260"/>
        <v>99.446592828548631</v>
      </c>
      <c r="AS406" s="61" t="str">
        <f t="shared" si="261"/>
        <v>-0.00223133387464357-0.0321420981013899i</v>
      </c>
      <c r="AT406" s="67">
        <f t="shared" si="262"/>
        <v>-29.837636030685701</v>
      </c>
      <c r="AU406" s="64">
        <f t="shared" si="263"/>
        <v>-93.97115429653266</v>
      </c>
    </row>
    <row r="407" spans="14:47" x14ac:dyDescent="0.25">
      <c r="N407" s="11">
        <v>89</v>
      </c>
      <c r="O407" s="53">
        <f t="shared" si="231"/>
        <v>77624.711662869129</v>
      </c>
      <c r="P407" s="51" t="str">
        <f t="shared" si="232"/>
        <v>122.692307692308</v>
      </c>
      <c r="Q407" s="18" t="str">
        <f t="shared" si="233"/>
        <v>1+499.923708989046i</v>
      </c>
      <c r="R407" s="18">
        <f t="shared" si="241"/>
        <v>499.92470914065092</v>
      </c>
      <c r="S407" s="18">
        <f t="shared" si="242"/>
        <v>1.5687960242521644</v>
      </c>
      <c r="T407" s="18" t="str">
        <f t="shared" si="234"/>
        <v>1+0.0999847417978093i</v>
      </c>
      <c r="U407" s="18">
        <f t="shared" si="243"/>
        <v>1.0049860439789076</v>
      </c>
      <c r="V407" s="18">
        <f t="shared" si="244"/>
        <v>9.9653545337458724E-2</v>
      </c>
      <c r="W407" s="32" t="str">
        <f t="shared" si="235"/>
        <v>1-4.73622542279484i</v>
      </c>
      <c r="X407" s="18">
        <f t="shared" si="245"/>
        <v>4.8406436819423266</v>
      </c>
      <c r="Y407" s="18">
        <f t="shared" si="246"/>
        <v>-1.3627138751331991</v>
      </c>
      <c r="Z407" s="32" t="str">
        <f t="shared" si="236"/>
        <v>0.803245849445109+0.505412552413068i</v>
      </c>
      <c r="AA407" s="18">
        <f t="shared" si="247"/>
        <v>0.9490235733571043</v>
      </c>
      <c r="AB407" s="18">
        <f t="shared" si="248"/>
        <v>0.56162299458019183</v>
      </c>
      <c r="AC407" s="69" t="str">
        <f t="shared" si="249"/>
        <v>-1.21835361526257+0.313546469219179i</v>
      </c>
      <c r="AD407" s="67">
        <f t="shared" si="250"/>
        <v>1.9939775725394391</v>
      </c>
      <c r="AE407" s="64">
        <f t="shared" si="251"/>
        <v>165.56795545880644</v>
      </c>
      <c r="AF407" s="32" t="str">
        <f t="shared" si="237"/>
        <v>-0.0000198412698412698</v>
      </c>
      <c r="AG407" s="32" t="str">
        <f t="shared" si="238"/>
        <v>0.016875473493679i</v>
      </c>
      <c r="AH407" s="32">
        <f t="shared" si="252"/>
        <v>1.6875473493678999E-2</v>
      </c>
      <c r="AI407" s="32">
        <f t="shared" si="253"/>
        <v>1.5707963267948966</v>
      </c>
      <c r="AJ407" s="32" t="str">
        <f t="shared" si="239"/>
        <v>1+5.85750171545107i</v>
      </c>
      <c r="AK407" s="32">
        <f t="shared" si="254"/>
        <v>5.9422492666087505</v>
      </c>
      <c r="AL407" s="32">
        <f t="shared" si="255"/>
        <v>1.4017052643833057</v>
      </c>
      <c r="AM407" s="32" t="str">
        <f t="shared" si="240"/>
        <v>1+126.668474596629i</v>
      </c>
      <c r="AN407" s="32">
        <f t="shared" si="256"/>
        <v>126.67242184720732</v>
      </c>
      <c r="AO407" s="32">
        <f t="shared" si="257"/>
        <v>1.5629018666387209</v>
      </c>
      <c r="AP407" s="61" t="str">
        <f t="shared" si="258"/>
        <v>-0.00402270464197765+0.0247387453045734i</v>
      </c>
      <c r="AQ407" s="52">
        <f t="shared" si="259"/>
        <v>-32.019105908387061</v>
      </c>
      <c r="AR407" s="64">
        <f t="shared" si="260"/>
        <v>99.235884981084297</v>
      </c>
      <c r="AS407" s="61" t="str">
        <f t="shared" si="261"/>
        <v>-0.00285566949947454-0.0314018446160906i</v>
      </c>
      <c r="AT407" s="67">
        <f t="shared" si="262"/>
        <v>-30.025128335847626</v>
      </c>
      <c r="AU407" s="64">
        <f t="shared" si="263"/>
        <v>-95.196159560109265</v>
      </c>
    </row>
    <row r="408" spans="14:47" x14ac:dyDescent="0.25">
      <c r="N408" s="11">
        <v>90</v>
      </c>
      <c r="O408" s="53">
        <f t="shared" si="231"/>
        <v>79432.823472428237</v>
      </c>
      <c r="P408" s="51" t="str">
        <f t="shared" si="232"/>
        <v>122.692307692308</v>
      </c>
      <c r="Q408" s="18" t="str">
        <f t="shared" si="233"/>
        <v>1+511.568428083495i</v>
      </c>
      <c r="R408" s="18">
        <f t="shared" si="241"/>
        <v>511.56940546891389</v>
      </c>
      <c r="S408" s="18">
        <f t="shared" si="242"/>
        <v>1.5688415565796252</v>
      </c>
      <c r="T408" s="18" t="str">
        <f t="shared" si="234"/>
        <v>1+0.102313685616699i</v>
      </c>
      <c r="U408" s="18">
        <f t="shared" si="243"/>
        <v>1.005220418746293</v>
      </c>
      <c r="V408" s="18">
        <f t="shared" si="244"/>
        <v>0.10195890167904055</v>
      </c>
      <c r="W408" s="32" t="str">
        <f t="shared" si="235"/>
        <v>1-4.84654628500793i</v>
      </c>
      <c r="X408" s="18">
        <f t="shared" si="245"/>
        <v>4.9486372763341793</v>
      </c>
      <c r="Y408" s="18">
        <f t="shared" si="246"/>
        <v>-1.3673193078822705</v>
      </c>
      <c r="Z408" s="32" t="str">
        <f t="shared" si="236"/>
        <v>0.793973112006468+0.517185123095023i</v>
      </c>
      <c r="AA408" s="18">
        <f t="shared" si="247"/>
        <v>0.94756200543291602</v>
      </c>
      <c r="AB408" s="18">
        <f t="shared" si="248"/>
        <v>0.57735084890524324</v>
      </c>
      <c r="AC408" s="69" t="str">
        <f t="shared" si="249"/>
        <v>-1.21347449576478+0.335786889670361i</v>
      </c>
      <c r="AD408" s="67">
        <f t="shared" si="250"/>
        <v>2.0010411415418847</v>
      </c>
      <c r="AE408" s="64">
        <f t="shared" si="251"/>
        <v>164.53242230428279</v>
      </c>
      <c r="AF408" s="32" t="str">
        <f t="shared" si="237"/>
        <v>-0.0000198412698412698</v>
      </c>
      <c r="AG408" s="32" t="str">
        <f t="shared" si="238"/>
        <v>0.0172685537675014i</v>
      </c>
      <c r="AH408" s="32">
        <f t="shared" si="252"/>
        <v>1.7268553767501402E-2</v>
      </c>
      <c r="AI408" s="32">
        <f t="shared" si="253"/>
        <v>1.5707963267948966</v>
      </c>
      <c r="AJ408" s="32" t="str">
        <f t="shared" si="239"/>
        <v>1+5.99394045769359i</v>
      </c>
      <c r="AK408" s="32">
        <f t="shared" si="254"/>
        <v>6.0767855162393252</v>
      </c>
      <c r="AL408" s="32">
        <f t="shared" si="255"/>
        <v>1.4054837168833094</v>
      </c>
      <c r="AM408" s="32" t="str">
        <f t="shared" si="240"/>
        <v>1+129.618962397624i</v>
      </c>
      <c r="AN408" s="32">
        <f t="shared" si="256"/>
        <v>129.62281980051452</v>
      </c>
      <c r="AO408" s="32">
        <f t="shared" si="257"/>
        <v>1.5630815592777714</v>
      </c>
      <c r="AP408" s="61" t="str">
        <f t="shared" si="258"/>
        <v>-0.00384655602414485+0.0242050104937652i</v>
      </c>
      <c r="AQ408" s="52">
        <f t="shared" si="259"/>
        <v>-32.213578934359518</v>
      </c>
      <c r="AR408" s="64">
        <f t="shared" si="260"/>
        <v>99.029691229570645</v>
      </c>
      <c r="AS408" s="61" t="str">
        <f t="shared" si="261"/>
        <v>-0.00346002755630972-0.0306637859871933i</v>
      </c>
      <c r="AT408" s="67">
        <f t="shared" si="262"/>
        <v>-30.212537792817642</v>
      </c>
      <c r="AU408" s="64">
        <f t="shared" si="263"/>
        <v>-96.437886466146594</v>
      </c>
    </row>
    <row r="409" spans="14:47" x14ac:dyDescent="0.25">
      <c r="N409" s="11">
        <v>91</v>
      </c>
      <c r="O409" s="53">
        <f t="shared" si="231"/>
        <v>81283.051616410012</v>
      </c>
      <c r="P409" s="51" t="str">
        <f t="shared" si="232"/>
        <v>122.692307692308</v>
      </c>
      <c r="Q409" s="18" t="str">
        <f t="shared" si="233"/>
        <v>1+523.484387529921i</v>
      </c>
      <c r="R409" s="18">
        <f t="shared" si="241"/>
        <v>523.48534266737261</v>
      </c>
      <c r="S409" s="18">
        <f t="shared" si="242"/>
        <v>1.5688860524726087</v>
      </c>
      <c r="T409" s="18" t="str">
        <f t="shared" si="234"/>
        <v>1+0.104696877505984i</v>
      </c>
      <c r="U409" s="18">
        <f t="shared" si="243"/>
        <v>1.005465780700419</v>
      </c>
      <c r="V409" s="18">
        <f t="shared" si="244"/>
        <v>0.10431683119126711</v>
      </c>
      <c r="W409" s="32" t="str">
        <f t="shared" si="235"/>
        <v>1-4.95943685021293i</v>
      </c>
      <c r="X409" s="18">
        <f t="shared" si="245"/>
        <v>5.0592503270000329</v>
      </c>
      <c r="Y409" s="18">
        <f t="shared" si="246"/>
        <v>-1.3718283815264016</v>
      </c>
      <c r="Z409" s="32" t="str">
        <f t="shared" si="236"/>
        <v>0.784263363915888+0.529231912174996i</v>
      </c>
      <c r="AA409" s="18">
        <f t="shared" si="247"/>
        <v>0.94612654589387102</v>
      </c>
      <c r="AB409" s="18">
        <f t="shared" si="248"/>
        <v>0.59362188824514461</v>
      </c>
      <c r="AC409" s="69" t="str">
        <f t="shared" si="249"/>
        <v>-1.20808193921316+0.358438317410722i</v>
      </c>
      <c r="AD409" s="67">
        <f t="shared" si="250"/>
        <v>2.0083408846215471</v>
      </c>
      <c r="AE409" s="64">
        <f t="shared" si="251"/>
        <v>163.47435951505892</v>
      </c>
      <c r="AF409" s="32" t="str">
        <f t="shared" si="237"/>
        <v>-0.0000198412698412698</v>
      </c>
      <c r="AG409" s="32" t="str">
        <f t="shared" si="238"/>
        <v>0.0176707900571076i</v>
      </c>
      <c r="AH409" s="32">
        <f t="shared" si="252"/>
        <v>1.7670790057107599E-2</v>
      </c>
      <c r="AI409" s="32">
        <f t="shared" si="253"/>
        <v>1.5707963267948966</v>
      </c>
      <c r="AJ409" s="32" t="str">
        <f t="shared" si="239"/>
        <v>1+6.13355726650594i</v>
      </c>
      <c r="AK409" s="32">
        <f t="shared" si="254"/>
        <v>6.214541394303188</v>
      </c>
      <c r="AL409" s="32">
        <f t="shared" si="255"/>
        <v>1.4091807701125094</v>
      </c>
      <c r="AM409" s="32" t="str">
        <f t="shared" si="240"/>
        <v>1+132.638175888191i</v>
      </c>
      <c r="AN409" s="32">
        <f t="shared" si="256"/>
        <v>132.64194548839626</v>
      </c>
      <c r="AO409" s="32">
        <f t="shared" si="257"/>
        <v>1.5632571620944082</v>
      </c>
      <c r="AP409" s="61" t="str">
        <f t="shared" si="258"/>
        <v>-0.00367791516698888+0.0236815319762033i</v>
      </c>
      <c r="AQ409" s="52">
        <f t="shared" si="259"/>
        <v>-32.408294111953936</v>
      </c>
      <c r="AR409" s="64">
        <f t="shared" si="260"/>
        <v>98.827926983166151</v>
      </c>
      <c r="AS409" s="61" t="str">
        <f t="shared" si="261"/>
        <v>-0.0040451455880611-0.029927536797385i</v>
      </c>
      <c r="AT409" s="67">
        <f t="shared" si="262"/>
        <v>-30.399953227332389</v>
      </c>
      <c r="AU409" s="64">
        <f t="shared" si="263"/>
        <v>-97.697713501774942</v>
      </c>
    </row>
    <row r="410" spans="14:47" x14ac:dyDescent="0.25">
      <c r="N410" s="11">
        <v>92</v>
      </c>
      <c r="O410" s="53">
        <f t="shared" si="231"/>
        <v>83176.377110267174</v>
      </c>
      <c r="P410" s="51" t="str">
        <f t="shared" si="232"/>
        <v>122.692307692308</v>
      </c>
      <c r="Q410" s="18" t="str">
        <f t="shared" si="233"/>
        <v>1+535.67790532775i</v>
      </c>
      <c r="R410" s="18">
        <f t="shared" si="241"/>
        <v>535.67883872365712</v>
      </c>
      <c r="S410" s="18">
        <f t="shared" si="242"/>
        <v>1.5689295355227211</v>
      </c>
      <c r="T410" s="18" t="str">
        <f t="shared" si="234"/>
        <v>1+0.10713558106555i</v>
      </c>
      <c r="U410" s="18">
        <f t="shared" si="243"/>
        <v>1.0057226420491154</v>
      </c>
      <c r="V410" s="18">
        <f t="shared" si="244"/>
        <v>0.10672847914471534</v>
      </c>
      <c r="W410" s="32" t="str">
        <f t="shared" si="235"/>
        <v>1-5.07495697448183i</v>
      </c>
      <c r="X410" s="18">
        <f t="shared" si="245"/>
        <v>5.1725417632767137</v>
      </c>
      <c r="Y410" s="18">
        <f t="shared" si="246"/>
        <v>-1.3762427530707053</v>
      </c>
      <c r="Z410" s="32" t="str">
        <f t="shared" si="236"/>
        <v>0.774096009495858+0.541559307020017i</v>
      </c>
      <c r="AA410" s="18">
        <f t="shared" si="247"/>
        <v>0.94472806401493792</v>
      </c>
      <c r="AB410" s="18">
        <f t="shared" si="248"/>
        <v>0.61045896564594293</v>
      </c>
      <c r="AC410" s="69" t="str">
        <f t="shared" si="249"/>
        <v>-1.20212555607708+0.381511573474333i</v>
      </c>
      <c r="AD410" s="67">
        <f t="shared" si="250"/>
        <v>2.0157652279285934</v>
      </c>
      <c r="AE410" s="64">
        <f t="shared" si="251"/>
        <v>162.39242703611893</v>
      </c>
      <c r="AF410" s="32" t="str">
        <f t="shared" si="237"/>
        <v>-0.0000198412698412698</v>
      </c>
      <c r="AG410" s="32" t="str">
        <f t="shared" si="238"/>
        <v>0.0180823956335026i</v>
      </c>
      <c r="AH410" s="32">
        <f t="shared" si="252"/>
        <v>1.8082395633502599E-2</v>
      </c>
      <c r="AI410" s="32">
        <f t="shared" si="253"/>
        <v>1.5707963267948966</v>
      </c>
      <c r="AJ410" s="32" t="str">
        <f t="shared" si="239"/>
        <v>1+6.27642616856822i</v>
      </c>
      <c r="AK410" s="32">
        <f t="shared" si="254"/>
        <v>6.3555900945142731</v>
      </c>
      <c r="AL410" s="32">
        <f t="shared" si="255"/>
        <v>1.4127979798362897</v>
      </c>
      <c r="AM410" s="32" t="str">
        <f t="shared" si="240"/>
        <v>1+135.727715895288i</v>
      </c>
      <c r="AN410" s="32">
        <f t="shared" si="256"/>
        <v>135.73139969127266</v>
      </c>
      <c r="AO410" s="32">
        <f t="shared" si="257"/>
        <v>1.563428768152225</v>
      </c>
      <c r="AP410" s="61" t="str">
        <f t="shared" si="258"/>
        <v>-0.00351647973587962+0.0231681954125363i</v>
      </c>
      <c r="AQ410" s="52">
        <f t="shared" si="259"/>
        <v>-32.603241108844522</v>
      </c>
      <c r="AR410" s="64">
        <f t="shared" si="260"/>
        <v>98.630508435231633</v>
      </c>
      <c r="AS410" s="61" t="str">
        <f t="shared" si="261"/>
        <v>-0.00461168452846948-0.0291926575107237i</v>
      </c>
      <c r="AT410" s="67">
        <f t="shared" si="262"/>
        <v>-30.587475880915925</v>
      </c>
      <c r="AU410" s="64">
        <f t="shared" si="263"/>
        <v>-98.977064528649436</v>
      </c>
    </row>
    <row r="411" spans="14:47" x14ac:dyDescent="0.25">
      <c r="N411" s="11">
        <v>93</v>
      </c>
      <c r="O411" s="53">
        <f t="shared" si="231"/>
        <v>85113.803820237721</v>
      </c>
      <c r="P411" s="51" t="str">
        <f t="shared" si="232"/>
        <v>122.692307692308</v>
      </c>
      <c r="Q411" s="18" t="str">
        <f t="shared" si="233"/>
        <v>1+548.15544664152i</v>
      </c>
      <c r="R411" s="18">
        <f t="shared" si="241"/>
        <v>548.15635879077809</v>
      </c>
      <c r="S411" s="18">
        <f t="shared" si="242"/>
        <v>1.5689720287845927</v>
      </c>
      <c r="T411" s="18" t="str">
        <f t="shared" si="234"/>
        <v>1+0.109631089328304i</v>
      </c>
      <c r="U411" s="18">
        <f t="shared" si="243"/>
        <v>1.0059915386062204</v>
      </c>
      <c r="V411" s="18">
        <f t="shared" si="244"/>
        <v>0.10919501195581222</v>
      </c>
      <c r="W411" s="32" t="str">
        <f t="shared" si="235"/>
        <v>1-5.19316790811359i</v>
      </c>
      <c r="X411" s="18">
        <f t="shared" si="245"/>
        <v>5.2885719170548189</v>
      </c>
      <c r="Y411" s="18">
        <f t="shared" si="246"/>
        <v>-1.3805640745737262</v>
      </c>
      <c r="Z411" s="32" t="str">
        <f t="shared" si="236"/>
        <v>0.763449482424493+0.554173843778004i</v>
      </c>
      <c r="AA411" s="18">
        <f t="shared" si="247"/>
        <v>0.94337890655977352</v>
      </c>
      <c r="AB411" s="18">
        <f t="shared" si="248"/>
        <v>0.62788573622271049</v>
      </c>
      <c r="AC411" s="69" t="str">
        <f t="shared" si="249"/>
        <v>-1.19555064304057+0.405014860113104i</v>
      </c>
      <c r="AD411" s="67">
        <f t="shared" si="250"/>
        <v>2.0231891925676178</v>
      </c>
      <c r="AE411" s="64">
        <f t="shared" si="251"/>
        <v>161.28524038302859</v>
      </c>
      <c r="AF411" s="32" t="str">
        <f t="shared" si="237"/>
        <v>-0.0000198412698412698</v>
      </c>
      <c r="AG411" s="32" t="str">
        <f t="shared" si="238"/>
        <v>0.0185035887354113i</v>
      </c>
      <c r="AH411" s="32">
        <f t="shared" si="252"/>
        <v>1.8503588735411299E-2</v>
      </c>
      <c r="AI411" s="32">
        <f t="shared" si="253"/>
        <v>1.5707963267948966</v>
      </c>
      <c r="AJ411" s="32" t="str">
        <f t="shared" si="239"/>
        <v>1+6.42262291486341i</v>
      </c>
      <c r="AK411" s="32">
        <f t="shared" si="254"/>
        <v>6.5000065466527479</v>
      </c>
      <c r="AL411" s="32">
        <f t="shared" si="255"/>
        <v>1.4163368851278526</v>
      </c>
      <c r="AM411" s="32" t="str">
        <f t="shared" si="240"/>
        <v>1+138.889220533921i</v>
      </c>
      <c r="AN411" s="32">
        <f t="shared" si="256"/>
        <v>138.89282047867033</v>
      </c>
      <c r="AO411" s="32">
        <f t="shared" si="257"/>
        <v>1.563596468398573</v>
      </c>
      <c r="AP411" s="61" t="str">
        <f t="shared" si="258"/>
        <v>-0.00336195804921378+0.0226648818686728i</v>
      </c>
      <c r="AQ411" s="52">
        <f t="shared" si="259"/>
        <v>-32.798410009762065</v>
      </c>
      <c r="AR411" s="64">
        <f t="shared" si="260"/>
        <v>98.437352614267581</v>
      </c>
      <c r="AS411" s="61" t="str">
        <f t="shared" si="261"/>
        <v>-0.00516022285190759-0.0284586570615388i</v>
      </c>
      <c r="AT411" s="67">
        <f t="shared" si="262"/>
        <v>-30.775220817194441</v>
      </c>
      <c r="AU411" s="64">
        <f t="shared" si="263"/>
        <v>-100.2774070027038</v>
      </c>
    </row>
    <row r="412" spans="14:47" x14ac:dyDescent="0.25">
      <c r="N412" s="11">
        <v>94</v>
      </c>
      <c r="O412" s="53">
        <f t="shared" si="231"/>
        <v>87096.358995608127</v>
      </c>
      <c r="P412" s="51" t="str">
        <f t="shared" si="232"/>
        <v>122.692307692308</v>
      </c>
      <c r="Q412" s="18" t="str">
        <f t="shared" si="233"/>
        <v>1+560.923627228795i</v>
      </c>
      <c r="R412" s="18">
        <f t="shared" si="241"/>
        <v>560.92451861503446</v>
      </c>
      <c r="S412" s="18">
        <f t="shared" si="242"/>
        <v>1.5690135547880999</v>
      </c>
      <c r="T412" s="18" t="str">
        <f t="shared" si="234"/>
        <v>1+0.112184725445759i</v>
      </c>
      <c r="U412" s="18">
        <f t="shared" si="243"/>
        <v>1.006273030853625</v>
      </c>
      <c r="V412" s="18">
        <f t="shared" si="244"/>
        <v>0.1117176173007656</v>
      </c>
      <c r="W412" s="32" t="str">
        <f t="shared" si="235"/>
        <v>1-5.31413232810995i</v>
      </c>
      <c r="X412" s="18">
        <f t="shared" si="245"/>
        <v>5.4074025558176517</v>
      </c>
      <c r="Y412" s="18">
        <f t="shared" si="246"/>
        <v>-1.3847939913821505</v>
      </c>
      <c r="Z412" s="32" t="str">
        <f t="shared" si="236"/>
        <v>0.75230119999047+0.567082210843322i</v>
      </c>
      <c r="AA412" s="18">
        <f t="shared" si="247"/>
        <v>0.94209305769761986</v>
      </c>
      <c r="AB412" s="18">
        <f t="shared" si="248"/>
        <v>0.64592661326147272</v>
      </c>
      <c r="AC412" s="69" t="str">
        <f t="shared" si="249"/>
        <v>-1.18829798218933+0.428953169319722i</v>
      </c>
      <c r="AD412" s="67">
        <f t="shared" si="250"/>
        <v>2.0304728596321246</v>
      </c>
      <c r="AE412" s="64">
        <f t="shared" si="251"/>
        <v>160.15137326408083</v>
      </c>
      <c r="AF412" s="32" t="str">
        <f t="shared" si="237"/>
        <v>-0.0000198412698412698</v>
      </c>
      <c r="AG412" s="32" t="str">
        <f t="shared" si="238"/>
        <v>0.0189345926849915i</v>
      </c>
      <c r="AH412" s="32">
        <f t="shared" si="252"/>
        <v>1.8934592684991501E-2</v>
      </c>
      <c r="AI412" s="32">
        <f t="shared" si="253"/>
        <v>1.5707963267948966</v>
      </c>
      <c r="AJ412" s="32" t="str">
        <f t="shared" si="239"/>
        <v>1+6.57222502084152i</v>
      </c>
      <c r="AK412" s="32">
        <f t="shared" si="254"/>
        <v>6.6478674569049083</v>
      </c>
      <c r="AL412" s="32">
        <f t="shared" si="255"/>
        <v>1.4197990076143783</v>
      </c>
      <c r="AM412" s="32" t="str">
        <f t="shared" si="240"/>
        <v>1+142.124366075698i</v>
      </c>
      <c r="AN412" s="32">
        <f t="shared" si="256"/>
        <v>142.12788407775236</v>
      </c>
      <c r="AO412" s="32">
        <f t="shared" si="257"/>
        <v>1.5637603517125911</v>
      </c>
      <c r="AP412" s="61" t="str">
        <f t="shared" si="258"/>
        <v>-0.00321406883720233+0.0221714683234879i</v>
      </c>
      <c r="AQ412" s="52">
        <f t="shared" si="259"/>
        <v>-32.993791301712747</v>
      </c>
      <c r="AR412" s="64">
        <f t="shared" si="260"/>
        <v>98.24837742985811</v>
      </c>
      <c r="AS412" s="61" t="str">
        <f t="shared" si="261"/>
        <v>-0.00569125009196682-0.027724996085105i</v>
      </c>
      <c r="AT412" s="67">
        <f t="shared" si="262"/>
        <v>-30.963318442080624</v>
      </c>
      <c r="AU412" s="64">
        <f t="shared" si="263"/>
        <v>-101.60024930606103</v>
      </c>
    </row>
    <row r="413" spans="14:47" x14ac:dyDescent="0.25">
      <c r="N413" s="11">
        <v>95</v>
      </c>
      <c r="O413" s="53">
        <f t="shared" si="231"/>
        <v>89125.093813374609</v>
      </c>
      <c r="P413" s="51" t="str">
        <f t="shared" si="232"/>
        <v>122.692307692308</v>
      </c>
      <c r="Q413" s="18" t="str">
        <f t="shared" si="233"/>
        <v>1+573.989216947928i</v>
      </c>
      <c r="R413" s="18">
        <f t="shared" si="241"/>
        <v>573.99008804377047</v>
      </c>
      <c r="S413" s="18">
        <f t="shared" si="242"/>
        <v>1.5690541355503056</v>
      </c>
      <c r="T413" s="18" t="str">
        <f t="shared" si="234"/>
        <v>1+0.114797843389586i</v>
      </c>
      <c r="U413" s="18">
        <f t="shared" si="243"/>
        <v>1.006567705048647</v>
      </c>
      <c r="V413" s="18">
        <f t="shared" si="244"/>
        <v>0.11429750420707713</v>
      </c>
      <c r="W413" s="32" t="str">
        <f t="shared" si="235"/>
        <v>1-5.43791437140752i</v>
      </c>
      <c r="X413" s="18">
        <f t="shared" si="245"/>
        <v>5.5290969163834021</v>
      </c>
      <c r="Y413" s="18">
        <f t="shared" si="246"/>
        <v>-1.3889341405002193</v>
      </c>
      <c r="Z413" s="32" t="str">
        <f t="shared" si="236"/>
        <v>0.740627515192072+0.580291252403048i</v>
      </c>
      <c r="AA413" s="18">
        <f t="shared" si="247"/>
        <v>0.9408863129385403</v>
      </c>
      <c r="AB413" s="18">
        <f t="shared" si="248"/>
        <v>0.66460670548155198</v>
      </c>
      <c r="AC413" s="69" t="str">
        <f t="shared" si="249"/>
        <v>-1.18030367778119+0.453327603536836i</v>
      </c>
      <c r="AD413" s="67">
        <f t="shared" si="250"/>
        <v>2.0374597225526312</v>
      </c>
      <c r="AE413" s="64">
        <f t="shared" si="251"/>
        <v>158.9893612728838</v>
      </c>
      <c r="AF413" s="32" t="str">
        <f t="shared" si="237"/>
        <v>-0.0000198412698412698</v>
      </c>
      <c r="AG413" s="32" t="str">
        <f t="shared" si="238"/>
        <v>0.0193756360062422i</v>
      </c>
      <c r="AH413" s="32">
        <f t="shared" si="252"/>
        <v>1.9375636006242199E-2</v>
      </c>
      <c r="AI413" s="32">
        <f t="shared" si="253"/>
        <v>1.5707963267948966</v>
      </c>
      <c r="AJ413" s="32" t="str">
        <f t="shared" si="239"/>
        <v>1+6.72531180751936i</v>
      </c>
      <c r="AK413" s="32">
        <f t="shared" si="254"/>
        <v>6.7992513491089097</v>
      </c>
      <c r="AL413" s="32">
        <f t="shared" si="255"/>
        <v>1.4231858508041322</v>
      </c>
      <c r="AM413" s="32" t="str">
        <f t="shared" si="240"/>
        <v>1+145.434867837606i</v>
      </c>
      <c r="AN413" s="32">
        <f t="shared" si="256"/>
        <v>145.43830576207191</v>
      </c>
      <c r="AO413" s="32">
        <f t="shared" si="257"/>
        <v>1.5639205049521485</v>
      </c>
      <c r="AP413" s="61" t="str">
        <f t="shared" si="258"/>
        <v>-0.00307254099319382+0.0216878281458045i</v>
      </c>
      <c r="AQ413" s="52">
        <f t="shared" si="259"/>
        <v>-33.189375859540753</v>
      </c>
      <c r="AR413" s="64">
        <f t="shared" si="260"/>
        <v>98.063501713914647</v>
      </c>
      <c r="AS413" s="61" t="str">
        <f t="shared" si="261"/>
        <v>-0.00620515972485616-0.0269910909687927i</v>
      </c>
      <c r="AT413" s="67">
        <f t="shared" si="262"/>
        <v>-31.15191613698812</v>
      </c>
      <c r="AU413" s="64">
        <f t="shared" si="263"/>
        <v>-102.94713701320153</v>
      </c>
    </row>
    <row r="414" spans="14:47" x14ac:dyDescent="0.25">
      <c r="N414" s="11">
        <v>96</v>
      </c>
      <c r="O414" s="53">
        <f t="shared" si="231"/>
        <v>91201.083935591028</v>
      </c>
      <c r="P414" s="51" t="str">
        <f t="shared" si="232"/>
        <v>122.692307692308</v>
      </c>
      <c r="Q414" s="18" t="str">
        <f t="shared" si="233"/>
        <v>1+587.359143347532i</v>
      </c>
      <c r="R414" s="18">
        <f t="shared" si="241"/>
        <v>587.35999461484164</v>
      </c>
      <c r="S414" s="18">
        <f t="shared" si="242"/>
        <v>1.5690937925871324</v>
      </c>
      <c r="T414" s="18" t="str">
        <f t="shared" si="234"/>
        <v>1+0.117471828669507i</v>
      </c>
      <c r="U414" s="18">
        <f t="shared" si="243"/>
        <v>1.0068761743784376</v>
      </c>
      <c r="V414" s="18">
        <f t="shared" si="244"/>
        <v>0.11693590312055946</v>
      </c>
      <c r="W414" s="32" t="str">
        <f t="shared" si="235"/>
        <v>1-5.56457966888411i</v>
      </c>
      <c r="X414" s="18">
        <f t="shared" si="245"/>
        <v>5.6537197393714518</v>
      </c>
      <c r="Y414" s="18">
        <f t="shared" si="246"/>
        <v>-1.3929861490874407</v>
      </c>
      <c r="Z414" s="32" t="str">
        <f t="shared" si="236"/>
        <v>0.72840366657872+0.593807972065862i</v>
      </c>
      <c r="AA414" s="18">
        <f t="shared" si="247"/>
        <v>0.93977646766361134</v>
      </c>
      <c r="AB414" s="18">
        <f t="shared" si="248"/>
        <v>0.68395173196455261</v>
      </c>
      <c r="AC414" s="69" t="str">
        <f t="shared" si="249"/>
        <v>-1.171499046422+0.478134601547012i</v>
      </c>
      <c r="AD414" s="67">
        <f t="shared" si="250"/>
        <v>2.0439749309671389</v>
      </c>
      <c r="AE414" s="64">
        <f t="shared" si="251"/>
        <v>157.79770685181691</v>
      </c>
      <c r="AF414" s="32" t="str">
        <f t="shared" si="237"/>
        <v>-0.0000198412698412698</v>
      </c>
      <c r="AG414" s="32" t="str">
        <f t="shared" si="238"/>
        <v>0.0198269525461703i</v>
      </c>
      <c r="AH414" s="32">
        <f t="shared" si="252"/>
        <v>1.9826952546170298E-2</v>
      </c>
      <c r="AI414" s="32">
        <f t="shared" si="253"/>
        <v>1.5707963267948966</v>
      </c>
      <c r="AJ414" s="32" t="str">
        <f t="shared" si="239"/>
        <v>1+6.88196444353757i</v>
      </c>
      <c r="AK414" s="32">
        <f t="shared" si="254"/>
        <v>6.9542386069299766</v>
      </c>
      <c r="AL414" s="32">
        <f t="shared" si="255"/>
        <v>1.42649889948961</v>
      </c>
      <c r="AM414" s="32" t="str">
        <f t="shared" si="240"/>
        <v>1+148.8224810915i</v>
      </c>
      <c r="AN414" s="32">
        <f t="shared" si="256"/>
        <v>148.82584076103811</v>
      </c>
      <c r="AO414" s="32">
        <f t="shared" si="257"/>
        <v>1.5640770129997319</v>
      </c>
      <c r="AP414" s="61" t="str">
        <f t="shared" si="258"/>
        <v>-0.00293711331916624+0.0212138315418863i</v>
      </c>
      <c r="AQ414" s="52">
        <f t="shared" si="259"/>
        <v>-33.38515493184174</v>
      </c>
      <c r="AR414" s="64">
        <f t="shared" si="260"/>
        <v>97.88264525750175</v>
      </c>
      <c r="AS414" s="61" t="str">
        <f t="shared" si="261"/>
        <v>-0.00670224143892864-0.0262563189288347i</v>
      </c>
      <c r="AT414" s="67">
        <f t="shared" si="262"/>
        <v>-31.341180000874608</v>
      </c>
      <c r="AU414" s="64">
        <f t="shared" si="263"/>
        <v>-104.31964789068135</v>
      </c>
    </row>
    <row r="415" spans="14:47" x14ac:dyDescent="0.25">
      <c r="N415" s="11">
        <v>97</v>
      </c>
      <c r="O415" s="53">
        <f t="shared" si="231"/>
        <v>93325.430079699145</v>
      </c>
      <c r="P415" s="51" t="str">
        <f t="shared" si="232"/>
        <v>122.692307692308</v>
      </c>
      <c r="Q415" s="18" t="str">
        <f t="shared" si="233"/>
        <v>1+601.040495339557i</v>
      </c>
      <c r="R415" s="18">
        <f t="shared" si="241"/>
        <v>601.04132722968404</v>
      </c>
      <c r="S415" s="18">
        <f t="shared" si="242"/>
        <v>1.569132546924767</v>
      </c>
      <c r="T415" s="18" t="str">
        <f t="shared" si="234"/>
        <v>1+0.120208099067911i</v>
      </c>
      <c r="U415" s="18">
        <f t="shared" si="243"/>
        <v>1.0071990801631625</v>
      </c>
      <c r="V415" s="18">
        <f t="shared" si="244"/>
        <v>0.1196340659456458</v>
      </c>
      <c r="W415" s="32" t="str">
        <f t="shared" si="235"/>
        <v>1-5.69419538015707i</v>
      </c>
      <c r="X415" s="18">
        <f t="shared" si="245"/>
        <v>5.7813373044134106</v>
      </c>
      <c r="Y415" s="18">
        <f t="shared" si="246"/>
        <v>-1.3969516330782716</v>
      </c>
      <c r="Z415" s="32" t="str">
        <f t="shared" si="236"/>
        <v>0.715603725728627+0.607639536575442i</v>
      </c>
      <c r="AA415" s="18">
        <f t="shared" si="247"/>
        <v>0.93878352067252968</v>
      </c>
      <c r="AB415" s="18">
        <f t="shared" si="248"/>
        <v>0.70398791085276546</v>
      </c>
      <c r="AC415" s="69" t="str">
        <f t="shared" si="249"/>
        <v>-1.16181057989776+0.503365063790952i</v>
      </c>
      <c r="AD415" s="67">
        <f t="shared" si="250"/>
        <v>2.0498234346907132</v>
      </c>
      <c r="AE415" s="64">
        <f t="shared" si="251"/>
        <v>156.57488574988417</v>
      </c>
      <c r="AF415" s="32" t="str">
        <f t="shared" si="237"/>
        <v>-0.0000198412698412698</v>
      </c>
      <c r="AG415" s="32" t="str">
        <f t="shared" si="238"/>
        <v>0.0202887815987792i</v>
      </c>
      <c r="AH415" s="32">
        <f t="shared" si="252"/>
        <v>2.0288781598779199E-2</v>
      </c>
      <c r="AI415" s="32">
        <f t="shared" si="253"/>
        <v>1.5707963267948966</v>
      </c>
      <c r="AJ415" s="32" t="str">
        <f t="shared" si="239"/>
        <v>1+7.04226598819732i</v>
      </c>
      <c r="AK415" s="32">
        <f t="shared" si="254"/>
        <v>7.1129115169894224</v>
      </c>
      <c r="AL415" s="32">
        <f t="shared" si="255"/>
        <v>1.4297396192220166</v>
      </c>
      <c r="AM415" s="32" t="str">
        <f t="shared" si="240"/>
        <v>1+152.289001994767i</v>
      </c>
      <c r="AN415" s="32">
        <f t="shared" si="256"/>
        <v>152.29228519055766</v>
      </c>
      <c r="AO415" s="32">
        <f t="shared" si="257"/>
        <v>1.5642299588072932</v>
      </c>
      <c r="AP415" s="61" t="str">
        <f t="shared" si="258"/>
        <v>-0.00280753426686803+0.0207493459746698i</v>
      </c>
      <c r="AQ415" s="52">
        <f t="shared" si="259"/>
        <v>-33.581120127237121</v>
      </c>
      <c r="AR415" s="64">
        <f t="shared" si="260"/>
        <v>97.705728843517548</v>
      </c>
      <c r="AS415" s="61" t="str">
        <f t="shared" si="261"/>
        <v>-0.00718267284548742-0.0255200243446677i</v>
      </c>
      <c r="AT415" s="67">
        <f t="shared" si="262"/>
        <v>-31.531296692546398</v>
      </c>
      <c r="AU415" s="64">
        <f t="shared" si="263"/>
        <v>-105.71938540659825</v>
      </c>
    </row>
    <row r="416" spans="14:47" x14ac:dyDescent="0.25">
      <c r="N416" s="11">
        <v>98</v>
      </c>
      <c r="O416" s="53">
        <f t="shared" si="231"/>
        <v>95499.258602143804</v>
      </c>
      <c r="P416" s="51" t="str">
        <f t="shared" si="232"/>
        <v>122.692307692308</v>
      </c>
      <c r="Q416" s="18" t="str">
        <f t="shared" si="233"/>
        <v>1+615.040526957922i</v>
      </c>
      <c r="R416" s="18">
        <f t="shared" si="241"/>
        <v>615.04133991194306</v>
      </c>
      <c r="S416" s="18">
        <f t="shared" si="242"/>
        <v>1.5691704191108062</v>
      </c>
      <c r="T416" s="18" t="str">
        <f t="shared" si="234"/>
        <v>1+0.123008105391585i</v>
      </c>
      <c r="U416" s="18">
        <f t="shared" si="243"/>
        <v>1.0075370931097412</v>
      </c>
      <c r="V416" s="18">
        <f t="shared" si="244"/>
        <v>0.12239326605664309</v>
      </c>
      <c r="W416" s="32" t="str">
        <f t="shared" si="235"/>
        <v>1-5.82683022919219i</v>
      </c>
      <c r="X416" s="18">
        <f t="shared" si="245"/>
        <v>5.9120174661301448</v>
      </c>
      <c r="Y416" s="18">
        <f t="shared" si="246"/>
        <v>-1.4008321959175805</v>
      </c>
      <c r="Z416" s="32" t="str">
        <f t="shared" si="236"/>
        <v>0.702200542251131+0.621793279610376i</v>
      </c>
      <c r="AA416" s="18">
        <f t="shared" si="247"/>
        <v>0.93792989295917506</v>
      </c>
      <c r="AB416" s="18">
        <f t="shared" si="248"/>
        <v>0.72474181753045341</v>
      </c>
      <c r="AC416" s="69" t="str">
        <f t="shared" si="249"/>
        <v>-1.15116000371414+0.529003373415521i</v>
      </c>
      <c r="AD416" s="67">
        <f t="shared" si="250"/>
        <v>2.0547880419160633</v>
      </c>
      <c r="AE416" s="64">
        <f t="shared" si="251"/>
        <v>155.3193552207876</v>
      </c>
      <c r="AF416" s="32" t="str">
        <f t="shared" si="237"/>
        <v>-0.0000198412698412698</v>
      </c>
      <c r="AG416" s="32" t="str">
        <f t="shared" si="238"/>
        <v>0.0207613680319455i</v>
      </c>
      <c r="AH416" s="32">
        <f t="shared" si="252"/>
        <v>2.0761368031945501E-2</v>
      </c>
      <c r="AI416" s="32">
        <f t="shared" si="253"/>
        <v>1.5707963267948966</v>
      </c>
      <c r="AJ416" s="32" t="str">
        <f t="shared" si="239"/>
        <v>1+7.20630143549943i</v>
      </c>
      <c r="AK416" s="32">
        <f t="shared" si="254"/>
        <v>7.275354312972059</v>
      </c>
      <c r="AL416" s="32">
        <f t="shared" si="255"/>
        <v>1.4329094558525728</v>
      </c>
      <c r="AM416" s="32" t="str">
        <f t="shared" si="240"/>
        <v>1+155.836268542675i</v>
      </c>
      <c r="AN416" s="32">
        <f t="shared" si="256"/>
        <v>155.83947700536189</v>
      </c>
      <c r="AO416" s="32">
        <f t="shared" si="257"/>
        <v>1.5643794234400854</v>
      </c>
      <c r="AP416" s="61" t="str">
        <f t="shared" si="258"/>
        <v>-0.00268356167594801+0.0202942365559732i</v>
      </c>
      <c r="AQ416" s="52">
        <f t="shared" si="259"/>
        <v>-33.777263401012462</v>
      </c>
      <c r="AR416" s="64">
        <f t="shared" si="260"/>
        <v>97.532674275486187</v>
      </c>
      <c r="AS416" s="61" t="str">
        <f t="shared" si="261"/>
        <v>-0.00764651073015097-0.0247815266084949i</v>
      </c>
      <c r="AT416" s="67">
        <f t="shared" si="262"/>
        <v>-31.722475359096379</v>
      </c>
      <c r="AU416" s="64">
        <f t="shared" si="263"/>
        <v>-107.14797050372617</v>
      </c>
    </row>
    <row r="417" spans="14:47" x14ac:dyDescent="0.25">
      <c r="N417" s="11">
        <v>99</v>
      </c>
      <c r="O417" s="53">
        <f t="shared" si="231"/>
        <v>97723.722095581266</v>
      </c>
      <c r="P417" s="51" t="str">
        <f t="shared" si="232"/>
        <v>122.692307692308</v>
      </c>
      <c r="Q417" s="18" t="str">
        <f t="shared" si="233"/>
        <v>1+629.366661204703i</v>
      </c>
      <c r="R417" s="18">
        <f t="shared" si="241"/>
        <v>629.36745565365493</v>
      </c>
      <c r="S417" s="18">
        <f t="shared" si="242"/>
        <v>1.5692074292251494</v>
      </c>
      <c r="T417" s="18" t="str">
        <f t="shared" si="234"/>
        <v>1+0.125873332240941i</v>
      </c>
      <c r="U417" s="18">
        <f t="shared" si="243"/>
        <v>1.0078909146179651</v>
      </c>
      <c r="V417" s="18">
        <f t="shared" si="244"/>
        <v>0.12521479827741386</v>
      </c>
      <c r="W417" s="32" t="str">
        <f t="shared" si="235"/>
        <v>1-5.96255454074202i</v>
      </c>
      <c r="X417" s="18">
        <f t="shared" si="245"/>
        <v>6.0458296908963014</v>
      </c>
      <c r="Y417" s="18">
        <f t="shared" si="246"/>
        <v>-1.4046294274058406</v>
      </c>
      <c r="Z417" s="32" t="str">
        <f t="shared" si="236"/>
        <v>0.688165686197082+0.636276705672564i</v>
      </c>
      <c r="AA417" s="18">
        <f t="shared" si="247"/>
        <v>0.9372406616449328</v>
      </c>
      <c r="AB417" s="18">
        <f t="shared" si="248"/>
        <v>0.74624020765206378</v>
      </c>
      <c r="AC417" s="69" t="str">
        <f t="shared" si="249"/>
        <v>-1.1394644584787+0.555026312433085i</v>
      </c>
      <c r="AD417" s="67">
        <f t="shared" si="250"/>
        <v>2.0586274126983382</v>
      </c>
      <c r="AE417" s="64">
        <f t="shared" si="251"/>
        <v>154.02956422704136</v>
      </c>
      <c r="AF417" s="32" t="str">
        <f t="shared" si="237"/>
        <v>-0.0000198412698412698</v>
      </c>
      <c r="AG417" s="32" t="str">
        <f t="shared" si="238"/>
        <v>0.0212449624172515i</v>
      </c>
      <c r="AH417" s="32">
        <f t="shared" si="252"/>
        <v>2.12449624172515E-2</v>
      </c>
      <c r="AI417" s="32">
        <f t="shared" si="253"/>
        <v>1.5707963267948966</v>
      </c>
      <c r="AJ417" s="32" t="str">
        <f t="shared" si="239"/>
        <v>1+7.37415775920929i</v>
      </c>
      <c r="AK417" s="32">
        <f t="shared" si="254"/>
        <v>7.4416532207370825</v>
      </c>
      <c r="AL417" s="32">
        <f t="shared" si="255"/>
        <v>1.4360098351363395</v>
      </c>
      <c r="AM417" s="32" t="str">
        <f t="shared" si="240"/>
        <v>1+159.466161542901i</v>
      </c>
      <c r="AN417" s="32">
        <f t="shared" si="256"/>
        <v>159.46929697351337</v>
      </c>
      <c r="AO417" s="32">
        <f t="shared" si="257"/>
        <v>1.5645254861195077</v>
      </c>
      <c r="AP417" s="61" t="str">
        <f t="shared" si="258"/>
        <v>-0.00256496251028279+0.0198483664129033i</v>
      </c>
      <c r="AQ417" s="52">
        <f t="shared" si="259"/>
        <v>-33.973577042123772</v>
      </c>
      <c r="AR417" s="64">
        <f t="shared" si="260"/>
        <v>97.363404402711865</v>
      </c>
      <c r="AS417" s="61" t="str">
        <f t="shared" si="261"/>
        <v>-0.00809368200017687-0.024040129769977i</v>
      </c>
      <c r="AT417" s="67">
        <f t="shared" si="262"/>
        <v>-31.914949629425443</v>
      </c>
      <c r="AU417" s="64">
        <f t="shared" si="263"/>
        <v>-108.60703137024682</v>
      </c>
    </row>
    <row r="418" spans="14:47" x14ac:dyDescent="0.25">
      <c r="N418" s="11">
        <v>100</v>
      </c>
      <c r="O418" s="53">
        <f t="shared" si="231"/>
        <v>100000</v>
      </c>
      <c r="P418" s="51" t="str">
        <f t="shared" si="232"/>
        <v>122.692307692308</v>
      </c>
      <c r="Q418" s="18" t="str">
        <f t="shared" si="233"/>
        <v>1+644.026493985908i</v>
      </c>
      <c r="R418" s="18">
        <f t="shared" si="241"/>
        <v>644.02727035101611</v>
      </c>
      <c r="S418" s="18">
        <f t="shared" si="242"/>
        <v>1.5692435968906435</v>
      </c>
      <c r="T418" s="18" t="str">
        <f t="shared" si="234"/>
        <v>1+0.128805298797182i</v>
      </c>
      <c r="U418" s="18">
        <f t="shared" si="243"/>
        <v>1.0082612781408553</v>
      </c>
      <c r="V418" s="18">
        <f t="shared" si="244"/>
        <v>0.12809997882687374</v>
      </c>
      <c r="W418" s="32" t="str">
        <f t="shared" si="235"/>
        <v>1-6.10144027763309i</v>
      </c>
      <c r="X418" s="18">
        <f t="shared" si="245"/>
        <v>6.1828450944143318</v>
      </c>
      <c r="Y418" s="18">
        <f t="shared" si="246"/>
        <v>-1.4083449026481702</v>
      </c>
      <c r="Z418" s="32" t="str">
        <f t="shared" si="236"/>
        <v>0.673469387755102+0.651097494066218i</v>
      </c>
      <c r="AA418" s="18">
        <f t="shared" si="247"/>
        <v>0.93674380863848827</v>
      </c>
      <c r="AB418" s="18">
        <f t="shared" si="248"/>
        <v>0.7685098001077596</v>
      </c>
      <c r="AC418" s="69" t="str">
        <f t="shared" si="249"/>
        <v>-1.12663683547294+0.581401876732509i</v>
      </c>
      <c r="AD418" s="67">
        <f t="shared" si="250"/>
        <v>2.061074017240117</v>
      </c>
      <c r="AE418" s="64">
        <f t="shared" si="251"/>
        <v>152.70396593161252</v>
      </c>
      <c r="AF418" s="32" t="str">
        <f t="shared" si="237"/>
        <v>-0.0000198412698412698</v>
      </c>
      <c r="AG418" s="32" t="str">
        <f t="shared" si="238"/>
        <v>0.0217398211628414i</v>
      </c>
      <c r="AH418" s="32">
        <f t="shared" si="252"/>
        <v>2.17398211628414E-2</v>
      </c>
      <c r="AI418" s="32">
        <f t="shared" si="253"/>
        <v>1.5707963267948966</v>
      </c>
      <c r="AJ418" s="32" t="str">
        <f t="shared" si="239"/>
        <v>1+7.54592395897161i</v>
      </c>
      <c r="AK418" s="32">
        <f t="shared" si="254"/>
        <v>7.6118965044581213</v>
      </c>
      <c r="AL418" s="32">
        <f t="shared" si="255"/>
        <v>1.4390421623944623</v>
      </c>
      <c r="AM418" s="32" t="str">
        <f t="shared" si="240"/>
        <v>1+163.180605612761i</v>
      </c>
      <c r="AN418" s="32">
        <f t="shared" si="256"/>
        <v>163.18366967361484</v>
      </c>
      <c r="AO418" s="32">
        <f t="shared" si="257"/>
        <v>1.5646682242649828</v>
      </c>
      <c r="AP418" s="61" t="str">
        <f t="shared" si="258"/>
        <v>-0.00245151259358557+0.0194115970296632i</v>
      </c>
      <c r="AQ418" s="52">
        <f t="shared" si="259"/>
        <v>-34.1700536605751</v>
      </c>
      <c r="AR418" s="64">
        <f t="shared" si="260"/>
        <v>97.197843142030194</v>
      </c>
      <c r="AS418" s="61" t="str">
        <f t="shared" si="261"/>
        <v>-0.00852397455286208-0.0232951342717197i</v>
      </c>
      <c r="AT418" s="67">
        <f t="shared" si="262"/>
        <v>-32.108979643334983</v>
      </c>
      <c r="AU418" s="64">
        <f t="shared" si="263"/>
        <v>-110.09819092635728</v>
      </c>
    </row>
    <row r="419" spans="14:47" x14ac:dyDescent="0.25">
      <c r="N419" s="11">
        <v>1</v>
      </c>
      <c r="O419" s="53">
        <f>10^(5+(N419/100))</f>
        <v>102329.29922807543</v>
      </c>
      <c r="P419" s="51" t="str">
        <f t="shared" si="232"/>
        <v>122.692307692308</v>
      </c>
      <c r="Q419" s="18" t="str">
        <f t="shared" si="233"/>
        <v>1+659.027798138923i</v>
      </c>
      <c r="R419" s="18">
        <f t="shared" si="241"/>
        <v>659.02855683182429</v>
      </c>
      <c r="S419" s="18">
        <f t="shared" si="242"/>
        <v>1.5692789412834849</v>
      </c>
      <c r="T419" s="18" t="str">
        <f t="shared" si="234"/>
        <v>1+0.131805559627785i</v>
      </c>
      <c r="U419" s="18">
        <f t="shared" si="243"/>
        <v>1.0086489506011462</v>
      </c>
      <c r="V419" s="18">
        <f t="shared" si="244"/>
        <v>0.1310501452274597</v>
      </c>
      <c r="W419" s="32" t="str">
        <f t="shared" si="235"/>
        <v>1-6.24356107892148i</v>
      </c>
      <c r="X419" s="18">
        <f t="shared" si="245"/>
        <v>6.3231364801199064</v>
      </c>
      <c r="Y419" s="18">
        <f t="shared" si="246"/>
        <v>-1.4119801811014938</v>
      </c>
      <c r="Z419" s="32" t="str">
        <f t="shared" si="236"/>
        <v>0.658080474105829+0.666263502969521i</v>
      </c>
      <c r="AA419" s="18">
        <f t="shared" si="247"/>
        <v>0.93647048313792014</v>
      </c>
      <c r="AB419" s="18">
        <f t="shared" si="248"/>
        <v>0.79157701486450605</v>
      </c>
      <c r="AC419" s="69" t="str">
        <f t="shared" si="249"/>
        <v>-1.11258630185247+0.608087999587813i</v>
      </c>
      <c r="AD419" s="67">
        <f t="shared" si="250"/>
        <v>2.0618320986333569</v>
      </c>
      <c r="AE419" s="64">
        <f t="shared" si="251"/>
        <v>151.34103276727424</v>
      </c>
      <c r="AF419" s="32" t="str">
        <f t="shared" si="237"/>
        <v>-0.0000198412698412698</v>
      </c>
      <c r="AG419" s="32" t="str">
        <f t="shared" si="238"/>
        <v>0.0222462066493724i</v>
      </c>
      <c r="AH419" s="32">
        <f t="shared" si="252"/>
        <v>2.2246206649372401E-2</v>
      </c>
      <c r="AI419" s="32">
        <f t="shared" si="253"/>
        <v>1.5707963267948966</v>
      </c>
      <c r="AJ419" s="32" t="str">
        <f t="shared" si="239"/>
        <v>1+7.72169110749909i</v>
      </c>
      <c r="AK419" s="32">
        <f t="shared" si="254"/>
        <v>7.7861745138181009</v>
      </c>
      <c r="AL419" s="32">
        <f t="shared" si="255"/>
        <v>1.4420078222309056</v>
      </c>
      <c r="AM419" s="32" t="str">
        <f t="shared" si="240"/>
        <v>1+166.981570199668i</v>
      </c>
      <c r="AN419" s="32">
        <f t="shared" si="256"/>
        <v>166.98456451524689</v>
      </c>
      <c r="AO419" s="32">
        <f t="shared" si="257"/>
        <v>1.5648077135348859</v>
      </c>
      <c r="AP419" s="61" t="str">
        <f t="shared" si="258"/>
        <v>-0.00234299634526793+0.0189837885659522i</v>
      </c>
      <c r="AQ419" s="52">
        <f t="shared" si="259"/>
        <v>-34.366686175165484</v>
      </c>
      <c r="AR419" s="64">
        <f t="shared" si="260"/>
        <v>97.035915496383296</v>
      </c>
      <c r="AS419" s="61" t="str">
        <f t="shared" si="261"/>
        <v>-0.00893702837463237-0.0225458510763775i</v>
      </c>
      <c r="AT419" s="67">
        <f t="shared" si="262"/>
        <v>-32.304854076532123</v>
      </c>
      <c r="AU419" s="64">
        <f t="shared" si="263"/>
        <v>-111.62305173634243</v>
      </c>
    </row>
    <row r="420" spans="14:47" x14ac:dyDescent="0.25">
      <c r="N420" s="11">
        <v>2</v>
      </c>
      <c r="O420" s="53">
        <f t="shared" ref="O420:O483" si="264">10^(5+(N420/100))</f>
        <v>104712.85480508996</v>
      </c>
      <c r="P420" s="51" t="str">
        <f t="shared" si="232"/>
        <v>122.692307692308</v>
      </c>
      <c r="Q420" s="18" t="str">
        <f t="shared" si="233"/>
        <v>1+674.378527553775i</v>
      </c>
      <c r="R420" s="18">
        <f t="shared" si="241"/>
        <v>674.37926897673663</v>
      </c>
      <c r="S420" s="18">
        <f t="shared" si="242"/>
        <v>1.5693134811433846</v>
      </c>
      <c r="T420" s="18" t="str">
        <f t="shared" si="234"/>
        <v>1+0.134875705510755i</v>
      </c>
      <c r="U420" s="18">
        <f t="shared" si="243"/>
        <v>1.0090547338658216</v>
      </c>
      <c r="V420" s="18">
        <f t="shared" si="244"/>
        <v>0.13406665617362679</v>
      </c>
      <c r="W420" s="32" t="str">
        <f t="shared" si="235"/>
        <v>1-6.38899229893722i</v>
      </c>
      <c r="X420" s="18">
        <f t="shared" si="245"/>
        <v>6.4667783784415489</v>
      </c>
      <c r="Y420" s="18">
        <f t="shared" si="246"/>
        <v>-1.4155368057142925</v>
      </c>
      <c r="Z420" s="32" t="str">
        <f t="shared" si="236"/>
        <v>0.641966303300185+0.681782773601138i</v>
      </c>
      <c r="AA420" s="18">
        <f t="shared" si="247"/>
        <v>0.93645527653602645</v>
      </c>
      <c r="AB420" s="18">
        <f t="shared" si="248"/>
        <v>0.81546766064900267</v>
      </c>
      <c r="AC420" s="69" t="str">
        <f t="shared" si="249"/>
        <v>-1.09721905451844+0.635031201026161i</v>
      </c>
      <c r="AD420" s="67">
        <f t="shared" si="250"/>
        <v>2.0605756916055253</v>
      </c>
      <c r="AE420" s="64">
        <f t="shared" si="251"/>
        <v>149.93927437222797</v>
      </c>
      <c r="AF420" s="32" t="str">
        <f t="shared" si="237"/>
        <v>-0.0000198412698412698</v>
      </c>
      <c r="AG420" s="32" t="str">
        <f t="shared" si="238"/>
        <v>0.0227643873691323i</v>
      </c>
      <c r="AH420" s="32">
        <f t="shared" si="252"/>
        <v>2.2764387369132302E-2</v>
      </c>
      <c r="AI420" s="32">
        <f t="shared" si="253"/>
        <v>1.5707963267948966</v>
      </c>
      <c r="AJ420" s="32" t="str">
        <f t="shared" si="239"/>
        <v>1+7.90155239886044i</v>
      </c>
      <c r="AK420" s="32">
        <f t="shared" si="254"/>
        <v>7.9645797322857641</v>
      </c>
      <c r="AL420" s="32">
        <f t="shared" si="255"/>
        <v>1.4449081782999682</v>
      </c>
      <c r="AM420" s="32" t="str">
        <f t="shared" si="240"/>
        <v>1+170.871070625357i</v>
      </c>
      <c r="AN420" s="32">
        <f t="shared" si="256"/>
        <v>170.87399678317277</v>
      </c>
      <c r="AO420" s="32">
        <f t="shared" si="257"/>
        <v>1.5649440278665492</v>
      </c>
      <c r="AP420" s="61" t="str">
        <f t="shared" si="258"/>
        <v>-0.00223920651741833+0.0185648001531143i</v>
      </c>
      <c r="AQ420" s="52">
        <f t="shared" si="259"/>
        <v>-34.563467801606038</v>
      </c>
      <c r="AR420" s="64">
        <f t="shared" si="260"/>
        <v>96.877547570432327</v>
      </c>
      <c r="AS420" s="61" t="str">
        <f t="shared" si="261"/>
        <v>-0.00933232728012956-0.0217916184754256i</v>
      </c>
      <c r="AT420" s="67">
        <f t="shared" si="262"/>
        <v>-32.502892110000523</v>
      </c>
      <c r="AU420" s="64">
        <f t="shared" si="263"/>
        <v>-113.1831780573397</v>
      </c>
    </row>
    <row r="421" spans="14:47" x14ac:dyDescent="0.25">
      <c r="N421" s="11">
        <v>3</v>
      </c>
      <c r="O421" s="53">
        <f t="shared" si="264"/>
        <v>107151.93052376082</v>
      </c>
      <c r="P421" s="51" t="str">
        <f t="shared" si="232"/>
        <v>122.692307692308</v>
      </c>
      <c r="Q421" s="18" t="str">
        <f t="shared" si="233"/>
        <v>1+690.086821390393i</v>
      </c>
      <c r="R421" s="18">
        <f t="shared" si="241"/>
        <v>690.08754593652543</v>
      </c>
      <c r="S421" s="18">
        <f t="shared" si="242"/>
        <v>1.5693472347835042</v>
      </c>
      <c r="T421" s="18" t="str">
        <f t="shared" si="234"/>
        <v>1+0.138017364278079i</v>
      </c>
      <c r="U421" s="18">
        <f t="shared" si="243"/>
        <v>1.009479466280651</v>
      </c>
      <c r="V421" s="18">
        <f t="shared" si="244"/>
        <v>0.13715089135722677</v>
      </c>
      <c r="W421" s="32" t="str">
        <f t="shared" si="235"/>
        <v>1-6.53781104723817i</v>
      </c>
      <c r="X421" s="18">
        <f t="shared" si="245"/>
        <v>6.6138470869373354</v>
      </c>
      <c r="Y421" s="18">
        <f t="shared" si="246"/>
        <v>-1.4190163021536017</v>
      </c>
      <c r="Z421" s="32" t="str">
        <f t="shared" si="236"/>
        <v>0.625092695021425+0.697663534483782i</v>
      </c>
      <c r="AA421" s="18">
        <f t="shared" si="247"/>
        <v>0.93673650762503724</v>
      </c>
      <c r="AB421" s="18">
        <f t="shared" si="248"/>
        <v>0.84020656771785274</v>
      </c>
      <c r="AC421" s="69" t="str">
        <f t="shared" si="249"/>
        <v>-1.08043934431758+0.662165190167371i</v>
      </c>
      <c r="AD421" s="67">
        <f t="shared" si="250"/>
        <v>2.0569467624431352</v>
      </c>
      <c r="AE421" s="64">
        <f t="shared" si="251"/>
        <v>148.4972586645373</v>
      </c>
      <c r="AF421" s="32" t="str">
        <f t="shared" si="237"/>
        <v>-0.0000198412698412698</v>
      </c>
      <c r="AG421" s="32" t="str">
        <f t="shared" si="238"/>
        <v>0.0232946380683976i</v>
      </c>
      <c r="AH421" s="32">
        <f t="shared" si="252"/>
        <v>2.32946380683976E-2</v>
      </c>
      <c r="AI421" s="32">
        <f t="shared" si="253"/>
        <v>1.5707963267948966</v>
      </c>
      <c r="AJ421" s="32" t="str">
        <f t="shared" si="239"/>
        <v>1+8.08560319789308i</v>
      </c>
      <c r="AK421" s="32">
        <f t="shared" si="254"/>
        <v>8.1472068265006516</v>
      </c>
      <c r="AL421" s="32">
        <f t="shared" si="255"/>
        <v>1.4477445731210343</v>
      </c>
      <c r="AM421" s="32" t="str">
        <f t="shared" si="240"/>
        <v>1+174.851169154438i</v>
      </c>
      <c r="AN421" s="32">
        <f t="shared" si="256"/>
        <v>174.85402870587191</v>
      </c>
      <c r="AO421" s="32">
        <f t="shared" si="257"/>
        <v>1.5650772395153607</v>
      </c>
      <c r="AP421" s="61" t="str">
        <f t="shared" si="258"/>
        <v>-0.00213994393366379+0.0181544901691701i</v>
      </c>
      <c r="AQ421" s="52">
        <f t="shared" si="259"/>
        <v>-34.760392041004174</v>
      </c>
      <c r="AR421" s="64">
        <f t="shared" si="260"/>
        <v>96.722666583411382</v>
      </c>
      <c r="AS421" s="61" t="str">
        <f t="shared" si="261"/>
        <v>-0.0097091918146961-0.0210318218365801i</v>
      </c>
      <c r="AT421" s="67">
        <f t="shared" si="262"/>
        <v>-32.703445278561034</v>
      </c>
      <c r="AU421" s="64">
        <f t="shared" si="263"/>
        <v>-114.78007475205129</v>
      </c>
    </row>
    <row r="422" spans="14:47" x14ac:dyDescent="0.25">
      <c r="N422" s="11">
        <v>4</v>
      </c>
      <c r="O422" s="53">
        <f t="shared" si="264"/>
        <v>109647.81961431868</v>
      </c>
      <c r="P422" s="51" t="str">
        <f t="shared" si="232"/>
        <v>122.692307692308</v>
      </c>
      <c r="Q422" s="18" t="str">
        <f t="shared" si="233"/>
        <v>1+706.161008394089i</v>
      </c>
      <c r="R422" s="18">
        <f t="shared" si="241"/>
        <v>706.16171644755468</v>
      </c>
      <c r="S422" s="18">
        <f t="shared" si="242"/>
        <v>1.5693802201001623</v>
      </c>
      <c r="T422" s="18" t="str">
        <f t="shared" si="234"/>
        <v>1+0.141232201678818i</v>
      </c>
      <c r="U422" s="18">
        <f t="shared" si="243"/>
        <v>1.0099240242667002</v>
      </c>
      <c r="V422" s="18">
        <f t="shared" si="244"/>
        <v>0.14030425124644608</v>
      </c>
      <c r="W422" s="32" t="str">
        <f t="shared" si="235"/>
        <v>1-6.69009622949452i</v>
      </c>
      <c r="X422" s="18">
        <f t="shared" si="245"/>
        <v>6.7644207113319608</v>
      </c>
      <c r="Y422" s="18">
        <f t="shared" si="246"/>
        <v>-1.4224201781140995</v>
      </c>
      <c r="Z422" s="32" t="str">
        <f t="shared" si="236"/>
        <v>0.60742385808411+0.713914205807076i</v>
      </c>
      <c r="AA422" s="18">
        <f t="shared" si="247"/>
        <v>0.93735651521869356</v>
      </c>
      <c r="AB422" s="18">
        <f t="shared" si="248"/>
        <v>0.86581716157438338</v>
      </c>
      <c r="AC422" s="69" t="str">
        <f t="shared" si="249"/>
        <v>-1.0621508131842+0.689409459569899i</v>
      </c>
      <c r="AD422" s="67">
        <f t="shared" si="250"/>
        <v>2.0505535504493206</v>
      </c>
      <c r="AE422" s="64">
        <f t="shared" si="251"/>
        <v>147.01363629271961</v>
      </c>
      <c r="AF422" s="32" t="str">
        <f t="shared" si="237"/>
        <v>-0.0000198412698412698</v>
      </c>
      <c r="AG422" s="32" t="str">
        <f t="shared" si="238"/>
        <v>0.0238372398931078i</v>
      </c>
      <c r="AH422" s="32">
        <f t="shared" si="252"/>
        <v>2.3837239893107799E-2</v>
      </c>
      <c r="AI422" s="32">
        <f t="shared" si="253"/>
        <v>1.5707963267948966</v>
      </c>
      <c r="AJ422" s="32" t="str">
        <f t="shared" si="239"/>
        <v>1+8.27394109076685i</v>
      </c>
      <c r="AK422" s="32">
        <f t="shared" si="254"/>
        <v>8.3341526967940851</v>
      </c>
      <c r="AL422" s="32">
        <f t="shared" si="255"/>
        <v>1.4505183279372069</v>
      </c>
      <c r="AM422" s="32" t="str">
        <f t="shared" si="240"/>
        <v>1+178.923976087833i</v>
      </c>
      <c r="AN422" s="32">
        <f t="shared" si="256"/>
        <v>178.9267705489579</v>
      </c>
      <c r="AO422" s="32">
        <f t="shared" si="257"/>
        <v>1.5652074190929779</v>
      </c>
      <c r="AP422" s="61" t="str">
        <f t="shared" si="258"/>
        <v>-0.00204501723059045+0.0177527164938299i</v>
      </c>
      <c r="AQ422" s="52">
        <f t="shared" si="259"/>
        <v>-34.957452668713081</v>
      </c>
      <c r="AR422" s="64">
        <f t="shared" si="260"/>
        <v>96.571200879416878</v>
      </c>
      <c r="AS422" s="61" t="str">
        <f t="shared" si="261"/>
        <v>-0.0100667739694616-0.0202659164839025i</v>
      </c>
      <c r="AT422" s="67">
        <f t="shared" si="262"/>
        <v>-32.906899118263752</v>
      </c>
      <c r="AU422" s="64">
        <f t="shared" si="263"/>
        <v>-116.41516282786357</v>
      </c>
    </row>
    <row r="423" spans="14:47" x14ac:dyDescent="0.25">
      <c r="N423" s="11">
        <v>5</v>
      </c>
      <c r="O423" s="53">
        <f t="shared" si="264"/>
        <v>112201.84543019651</v>
      </c>
      <c r="P423" s="51" t="str">
        <f t="shared" si="232"/>
        <v>122.692307692308</v>
      </c>
      <c r="Q423" s="18" t="str">
        <f t="shared" si="233"/>
        <v>1+722.609611311582i</v>
      </c>
      <c r="R423" s="18">
        <f t="shared" si="241"/>
        <v>722.61030324779858</v>
      </c>
      <c r="S423" s="18">
        <f t="shared" si="242"/>
        <v>1.5694124545823234</v>
      </c>
      <c r="T423" s="18" t="str">
        <f t="shared" si="234"/>
        <v>1+0.144521922262317i</v>
      </c>
      <c r="U423" s="18">
        <f t="shared" si="243"/>
        <v>1.0103893239808084</v>
      </c>
      <c r="V423" s="18">
        <f t="shared" si="244"/>
        <v>0.14352815681483161</v>
      </c>
      <c r="W423" s="32" t="str">
        <f t="shared" si="235"/>
        <v>1-6.84592858932563i</v>
      </c>
      <c r="X423" s="18">
        <f t="shared" si="245"/>
        <v>6.9185792074779346</v>
      </c>
      <c r="Y423" s="18">
        <f t="shared" si="246"/>
        <v>-1.4257499227043362</v>
      </c>
      <c r="Z423" s="32" t="str">
        <f t="shared" si="236"/>
        <v>0.58892231451619+0.730543403892061i</v>
      </c>
      <c r="AA423" s="18">
        <f t="shared" si="247"/>
        <v>0.93836195442126979</v>
      </c>
      <c r="AB423" s="18">
        <f t="shared" si="248"/>
        <v>0.89232097453463988</v>
      </c>
      <c r="AC423" s="69" t="str">
        <f t="shared" si="249"/>
        <v>-1.04225818529814+0.716667924697513i</v>
      </c>
      <c r="AD423" s="67">
        <f t="shared" si="250"/>
        <v>2.0409692076538333</v>
      </c>
      <c r="AE423" s="64">
        <f t="shared" si="251"/>
        <v>145.48716864005019</v>
      </c>
      <c r="AF423" s="32" t="str">
        <f t="shared" si="237"/>
        <v>-0.0000198412698412698</v>
      </c>
      <c r="AG423" s="32" t="str">
        <f t="shared" si="238"/>
        <v>0.0243924805379324i</v>
      </c>
      <c r="AH423" s="32">
        <f t="shared" si="252"/>
        <v>2.4392480537932401E-2</v>
      </c>
      <c r="AI423" s="32">
        <f t="shared" si="253"/>
        <v>1.5707963267948966</v>
      </c>
      <c r="AJ423" s="32" t="str">
        <f t="shared" si="239"/>
        <v>1+8.46666593672549i</v>
      </c>
      <c r="AK423" s="32">
        <f t="shared" si="254"/>
        <v>8.5255165288742312</v>
      </c>
      <c r="AL423" s="32">
        <f t="shared" si="255"/>
        <v>1.4532307426146471</v>
      </c>
      <c r="AM423" s="32" t="str">
        <f t="shared" si="240"/>
        <v>1+183.091650881689i</v>
      </c>
      <c r="AN423" s="32">
        <f t="shared" si="256"/>
        <v>183.09438173407258</v>
      </c>
      <c r="AO423" s="32">
        <f t="shared" si="257"/>
        <v>1.5653346356046767</v>
      </c>
      <c r="AP423" s="61" t="str">
        <f t="shared" si="258"/>
        <v>-0.00195424260231536+0.0173593367445594i</v>
      </c>
      <c r="AQ423" s="52">
        <f t="shared" si="259"/>
        <v>-35.154643723540808</v>
      </c>
      <c r="AR423" s="64">
        <f t="shared" si="260"/>
        <v>96.423079935314902</v>
      </c>
      <c r="AS423" s="61" t="str">
        <f t="shared" si="261"/>
        <v>-0.0104040544905271-0.0194934538035206i</v>
      </c>
      <c r="AT423" s="67">
        <f t="shared" si="262"/>
        <v>-33.113674515886984</v>
      </c>
      <c r="AU423" s="64">
        <f t="shared" si="263"/>
        <v>-118.08975142463483</v>
      </c>
    </row>
    <row r="424" spans="14:47" x14ac:dyDescent="0.25">
      <c r="N424" s="11">
        <v>6</v>
      </c>
      <c r="O424" s="53">
        <f t="shared" si="264"/>
        <v>114815.36214968823</v>
      </c>
      <c r="P424" s="51" t="str">
        <f t="shared" si="232"/>
        <v>122.692307692308</v>
      </c>
      <c r="Q424" s="18" t="str">
        <f t="shared" si="233"/>
        <v>1+739.44135140986i</v>
      </c>
      <c r="R424" s="18">
        <f t="shared" si="241"/>
        <v>739.44202759569998</v>
      </c>
      <c r="S424" s="18">
        <f t="shared" si="242"/>
        <v>1.5694439553208681</v>
      </c>
      <c r="T424" s="18" t="str">
        <f t="shared" si="234"/>
        <v>1+0.147888270281972i</v>
      </c>
      <c r="U424" s="18">
        <f t="shared" si="243"/>
        <v>1.0108763230420394</v>
      </c>
      <c r="V424" s="18">
        <f t="shared" si="244"/>
        <v>0.14682404921669609</v>
      </c>
      <c r="W424" s="32" t="str">
        <f t="shared" si="235"/>
        <v>1-7.00539075111137i</v>
      </c>
      <c r="X424" s="18">
        <f t="shared" si="245"/>
        <v>7.0764044242649611</v>
      </c>
      <c r="Y424" s="18">
        <f t="shared" si="246"/>
        <v>-1.429007005905353</v>
      </c>
      <c r="Z424" s="32" t="str">
        <f t="shared" si="236"/>
        <v>0.569548820063216+0.747559945759673i</v>
      </c>
      <c r="AA424" s="18">
        <f t="shared" si="247"/>
        <v>0.93980409178701008</v>
      </c>
      <c r="AB424" s="18">
        <f t="shared" si="248"/>
        <v>0.91973709361706624</v>
      </c>
      <c r="AC424" s="69" t="str">
        <f t="shared" si="249"/>
        <v>-1.0206693483023+0.743827677601392i</v>
      </c>
      <c r="AD424" s="67">
        <f t="shared" si="250"/>
        <v>2.0277308503844056</v>
      </c>
      <c r="AE424" s="64">
        <f t="shared" si="251"/>
        <v>143.91675947004373</v>
      </c>
      <c r="AF424" s="32" t="str">
        <f t="shared" si="237"/>
        <v>-0.0000198412698412698</v>
      </c>
      <c r="AG424" s="32" t="str">
        <f t="shared" si="238"/>
        <v>0.0249606543988109i</v>
      </c>
      <c r="AH424" s="32">
        <f t="shared" si="252"/>
        <v>2.49606543988109E-2</v>
      </c>
      <c r="AI424" s="32">
        <f t="shared" si="253"/>
        <v>1.5707963267948966</v>
      </c>
      <c r="AJ424" s="32" t="str">
        <f t="shared" si="239"/>
        <v>1+8.66387992103334i</v>
      </c>
      <c r="AK424" s="32">
        <f t="shared" si="254"/>
        <v>8.7213998467037772</v>
      </c>
      <c r="AL424" s="32">
        <f t="shared" si="255"/>
        <v>1.4558830955796065</v>
      </c>
      <c r="AM424" s="32" t="str">
        <f t="shared" si="240"/>
        <v>1+187.356403292346i</v>
      </c>
      <c r="AN424" s="32">
        <f t="shared" si="256"/>
        <v>187.35907198383586</v>
      </c>
      <c r="AO424" s="32">
        <f t="shared" si="257"/>
        <v>1.5654589564858552</v>
      </c>
      <c r="AP424" s="61" t="str">
        <f t="shared" si="258"/>
        <v>-0.00186744354872501+0.016974208494727i</v>
      </c>
      <c r="AQ424" s="52">
        <f t="shared" si="259"/>
        <v>-35.351959497315626</v>
      </c>
      <c r="AR424" s="64">
        <f t="shared" si="260"/>
        <v>96.2782343664406</v>
      </c>
      <c r="AS424" s="61" t="str">
        <f t="shared" si="261"/>
        <v>-0.0107198436938861-0.0187141105201602i</v>
      </c>
      <c r="AT424" s="67">
        <f t="shared" si="262"/>
        <v>-33.324228646931225</v>
      </c>
      <c r="AU424" s="64">
        <f t="shared" si="263"/>
        <v>-119.8050061635156</v>
      </c>
    </row>
    <row r="425" spans="14:47" x14ac:dyDescent="0.25">
      <c r="N425" s="11">
        <v>7</v>
      </c>
      <c r="O425" s="53">
        <f t="shared" si="264"/>
        <v>117489.75549395311</v>
      </c>
      <c r="P425" s="51" t="str">
        <f t="shared" si="232"/>
        <v>122.692307692308</v>
      </c>
      <c r="Q425" s="18" t="str">
        <f t="shared" si="233"/>
        <v>1+756.665153100321i</v>
      </c>
      <c r="R425" s="18">
        <f t="shared" si="241"/>
        <v>756.66581389430587</v>
      </c>
      <c r="S425" s="18">
        <f t="shared" si="242"/>
        <v>1.5694747390176553</v>
      </c>
      <c r="T425" s="18" t="str">
        <f t="shared" si="234"/>
        <v>1+0.151333030620064i</v>
      </c>
      <c r="U425" s="18">
        <f t="shared" si="243"/>
        <v>1.0113860223261213</v>
      </c>
      <c r="V425" s="18">
        <f t="shared" si="244"/>
        <v>0.15019338940506502</v>
      </c>
      <c r="W425" s="32" t="str">
        <f t="shared" si="235"/>
        <v>1-7.16856726380069i</v>
      </c>
      <c r="X425" s="18">
        <f t="shared" si="245"/>
        <v>7.2379801475021264</v>
      </c>
      <c r="Y425" s="18">
        <f t="shared" si="246"/>
        <v>-1.4321928780971378</v>
      </c>
      <c r="Z425" s="32" t="str">
        <f t="shared" si="236"/>
        <v>0.549262280945997+0.764972853805655i</v>
      </c>
      <c r="AA425" s="18">
        <f t="shared" si="247"/>
        <v>0.94173909355488017</v>
      </c>
      <c r="AB425" s="18">
        <f t="shared" si="248"/>
        <v>0.94808154542974943</v>
      </c>
      <c r="AC425" s="69" t="str">
        <f t="shared" si="249"/>
        <v>-0.997297850987874+0.77075794119976i</v>
      </c>
      <c r="AD425" s="67">
        <f t="shared" si="250"/>
        <v>2.0103391527272492</v>
      </c>
      <c r="AE425" s="64">
        <f t="shared" si="251"/>
        <v>142.30149017454141</v>
      </c>
      <c r="AF425" s="32" t="str">
        <f t="shared" si="237"/>
        <v>-0.0000198412698412698</v>
      </c>
      <c r="AG425" s="32" t="str">
        <f t="shared" si="238"/>
        <v>0.025542062729045i</v>
      </c>
      <c r="AH425" s="32">
        <f t="shared" si="252"/>
        <v>2.5542062729044999E-2</v>
      </c>
      <c r="AI425" s="32">
        <f t="shared" si="253"/>
        <v>1.5707963267948966</v>
      </c>
      <c r="AJ425" s="32" t="str">
        <f t="shared" si="239"/>
        <v>1+8.86568760915537i</v>
      </c>
      <c r="AK425" s="32">
        <f t="shared" si="254"/>
        <v>8.9219065665994854</v>
      </c>
      <c r="AL425" s="32">
        <f t="shared" si="255"/>
        <v>1.4584766437903118</v>
      </c>
      <c r="AM425" s="32" t="str">
        <f t="shared" si="240"/>
        <v>1+191.720494547985i</v>
      </c>
      <c r="AN425" s="32">
        <f t="shared" si="256"/>
        <v>191.72310249347609</v>
      </c>
      <c r="AO425" s="32">
        <f t="shared" si="257"/>
        <v>1.5655804476377095</v>
      </c>
      <c r="AP425" s="61" t="str">
        <f t="shared" si="258"/>
        <v>-0.0017844506278259+0.0165971894748293i</v>
      </c>
      <c r="AQ425" s="52">
        <f t="shared" si="259"/>
        <v>-35.549394524801869</v>
      </c>
      <c r="AR425" s="64">
        <f t="shared" si="260"/>
        <v>96.136595930252938</v>
      </c>
      <c r="AS425" s="61" t="str">
        <f t="shared" si="261"/>
        <v>-0.011012786812997-0.0179277208877615i</v>
      </c>
      <c r="AT425" s="67">
        <f t="shared" si="262"/>
        <v>-33.539055372074642</v>
      </c>
      <c r="AU425" s="64">
        <f t="shared" si="263"/>
        <v>-121.56191389520563</v>
      </c>
    </row>
    <row r="426" spans="14:47" x14ac:dyDescent="0.25">
      <c r="N426" s="11">
        <v>8</v>
      </c>
      <c r="O426" s="53">
        <f t="shared" si="264"/>
        <v>120226.44346174144</v>
      </c>
      <c r="P426" s="51" t="str">
        <f t="shared" si="232"/>
        <v>122.692307692308</v>
      </c>
      <c r="Q426" s="18" t="str">
        <f t="shared" si="233"/>
        <v>1+774.290148670603i</v>
      </c>
      <c r="R426" s="18">
        <f t="shared" si="241"/>
        <v>774.29079442309308</v>
      </c>
      <c r="S426" s="18">
        <f t="shared" si="242"/>
        <v>1.5695048219943746</v>
      </c>
      <c r="T426" s="18" t="str">
        <f t="shared" si="234"/>
        <v>1+0.154858029734121i</v>
      </c>
      <c r="U426" s="18">
        <f t="shared" si="243"/>
        <v>1.0119194678298931</v>
      </c>
      <c r="V426" s="18">
        <f t="shared" si="244"/>
        <v>0.153637657688073</v>
      </c>
      <c r="W426" s="32" t="str">
        <f t="shared" si="235"/>
        <v>1-7.33554464574046i</v>
      </c>
      <c r="X426" s="18">
        <f t="shared" si="245"/>
        <v>7.4033921447976478</v>
      </c>
      <c r="Y426" s="18">
        <f t="shared" si="246"/>
        <v>-1.4353089696485624</v>
      </c>
      <c r="Z426" s="32" t="str">
        <f t="shared" si="236"/>
        <v>0.528019666695208+0.782791360584337i</v>
      </c>
      <c r="AA426" s="18">
        <f t="shared" si="247"/>
        <v>0.9442283000537508</v>
      </c>
      <c r="AB426" s="18">
        <f t="shared" si="248"/>
        <v>0.97736662163922194</v>
      </c>
      <c r="AC426" s="69" t="str">
        <f t="shared" si="249"/>
        <v>-0.972065828474242+0.797309328089042i</v>
      </c>
      <c r="AD426" s="67">
        <f t="shared" si="250"/>
        <v>1.9882586264619788</v>
      </c>
      <c r="AE426" s="64">
        <f t="shared" si="251"/>
        <v>140.64065841907259</v>
      </c>
      <c r="AF426" s="32" t="str">
        <f t="shared" si="237"/>
        <v>-0.0000198412698412698</v>
      </c>
      <c r="AG426" s="32" t="str">
        <f t="shared" si="238"/>
        <v>0.0261370137990272i</v>
      </c>
      <c r="AH426" s="32">
        <f t="shared" si="252"/>
        <v>2.6137013799027199E-2</v>
      </c>
      <c r="AI426" s="32">
        <f t="shared" si="253"/>
        <v>1.5707963267948966</v>
      </c>
      <c r="AJ426" s="32" t="str">
        <f t="shared" si="239"/>
        <v>1+9.072196002199i</v>
      </c>
      <c r="AK426" s="32">
        <f t="shared" si="254"/>
        <v>9.1271430525830759</v>
      </c>
      <c r="AL426" s="32">
        <f t="shared" si="255"/>
        <v>1.4610126227410145</v>
      </c>
      <c r="AM426" s="32" t="str">
        <f t="shared" si="240"/>
        <v>1+196.186238547553i</v>
      </c>
      <c r="AN426" s="32">
        <f t="shared" si="256"/>
        <v>196.18878712973725</v>
      </c>
      <c r="AO426" s="32">
        <f t="shared" si="257"/>
        <v>1.5656991734621026</v>
      </c>
      <c r="AP426" s="61" t="str">
        <f t="shared" si="258"/>
        <v>-0.00170510121258864+0.0162281377577544i</v>
      </c>
      <c r="AQ426" s="52">
        <f t="shared" si="259"/>
        <v>-35.746943573959598</v>
      </c>
      <c r="AR426" s="64">
        <f t="shared" si="260"/>
        <v>95.998097528100573</v>
      </c>
      <c r="AS426" s="61" t="str">
        <f t="shared" si="261"/>
        <v>-0.0112813749889242-0.0171343112762185i</v>
      </c>
      <c r="AT426" s="67">
        <f t="shared" si="262"/>
        <v>-33.75868494749762</v>
      </c>
      <c r="AU426" s="64">
        <f t="shared" si="263"/>
        <v>-123.36124405282695</v>
      </c>
    </row>
    <row r="427" spans="14:47" x14ac:dyDescent="0.25">
      <c r="N427" s="11">
        <v>9</v>
      </c>
      <c r="O427" s="53">
        <f t="shared" si="264"/>
        <v>123026.87708123829</v>
      </c>
      <c r="P427" s="51" t="str">
        <f t="shared" si="232"/>
        <v>122.692307692308</v>
      </c>
      <c r="Q427" s="18" t="str">
        <f t="shared" si="233"/>
        <v>1+792.325683126651i</v>
      </c>
      <c r="R427" s="18">
        <f t="shared" si="241"/>
        <v>792.32631418003177</v>
      </c>
      <c r="S427" s="18">
        <f t="shared" si="242"/>
        <v>1.5695342202012006</v>
      </c>
      <c r="T427" s="18" t="str">
        <f t="shared" si="234"/>
        <v>1+0.15846513662533i</v>
      </c>
      <c r="U427" s="18">
        <f t="shared" si="243"/>
        <v>1.012477752607772</v>
      </c>
      <c r="V427" s="18">
        <f t="shared" si="244"/>
        <v>0.15715835321957078</v>
      </c>
      <c r="W427" s="32" t="str">
        <f t="shared" si="235"/>
        <v>1-7.50641143054882i</v>
      </c>
      <c r="X427" s="18">
        <f t="shared" si="245"/>
        <v>7.5727282114620991</v>
      </c>
      <c r="Y427" s="18">
        <f t="shared" si="246"/>
        <v>-1.4383566905666598</v>
      </c>
      <c r="Z427" s="32" t="str">
        <f t="shared" si="236"/>
        <v>0.505775918877974+0.801024913703868i</v>
      </c>
      <c r="AA427" s="18">
        <f t="shared" si="247"/>
        <v>0.9473384783123443</v>
      </c>
      <c r="AB427" s="18">
        <f t="shared" si="248"/>
        <v>1.0076001522795335</v>
      </c>
      <c r="AC427" s="69" t="str">
        <f t="shared" si="249"/>
        <v>-0.944907343758611+0.823313524049593i</v>
      </c>
      <c r="AD427" s="67">
        <f t="shared" si="250"/>
        <v>1.9609187429121762</v>
      </c>
      <c r="AE427" s="64">
        <f t="shared" si="251"/>
        <v>138.93381976959165</v>
      </c>
      <c r="AF427" s="32" t="str">
        <f t="shared" si="237"/>
        <v>-0.0000198412698412698</v>
      </c>
      <c r="AG427" s="32" t="str">
        <f t="shared" si="238"/>
        <v>0.0267458230596899i</v>
      </c>
      <c r="AH427" s="32">
        <f t="shared" si="252"/>
        <v>2.6745823059689901E-2</v>
      </c>
      <c r="AI427" s="32">
        <f t="shared" si="253"/>
        <v>1.5707963267948966</v>
      </c>
      <c r="AJ427" s="32" t="str">
        <f t="shared" si="239"/>
        <v>1+9.28351459364771i</v>
      </c>
      <c r="AK427" s="32">
        <f t="shared" si="254"/>
        <v>9.3372181730143815</v>
      </c>
      <c r="AL427" s="32">
        <f t="shared" si="255"/>
        <v>1.4634922464956794</v>
      </c>
      <c r="AM427" s="32" t="str">
        <f t="shared" si="240"/>
        <v>1+200.756003087632i</v>
      </c>
      <c r="AN427" s="32">
        <f t="shared" si="256"/>
        <v>200.75849365773124</v>
      </c>
      <c r="AO427" s="32">
        <f t="shared" si="257"/>
        <v>1.5658151968956422</v>
      </c>
      <c r="AP427" s="61" t="str">
        <f t="shared" si="258"/>
        <v>-0.00162923925260791+0.0158669119290023i</v>
      </c>
      <c r="AQ427" s="52">
        <f t="shared" si="259"/>
        <v>-35.944601636542309</v>
      </c>
      <c r="AR427" s="64">
        <f t="shared" si="260"/>
        <v>95.862673205244306</v>
      </c>
      <c r="AS427" s="61" t="str">
        <f t="shared" si="261"/>
        <v>-0.0115239630415224-0.0163341363150699i</v>
      </c>
      <c r="AT427" s="67">
        <f t="shared" si="262"/>
        <v>-33.983682893630146</v>
      </c>
      <c r="AU427" s="64">
        <f t="shared" si="263"/>
        <v>-125.20350702516409</v>
      </c>
    </row>
    <row r="428" spans="14:47" x14ac:dyDescent="0.25">
      <c r="N428" s="11">
        <v>10</v>
      </c>
      <c r="O428" s="53">
        <f t="shared" si="264"/>
        <v>125892.54117941685</v>
      </c>
      <c r="P428" s="51" t="str">
        <f t="shared" si="232"/>
        <v>122.692307692308</v>
      </c>
      <c r="Q428" s="18" t="str">
        <f t="shared" si="233"/>
        <v>1+810.781319147563i</v>
      </c>
      <c r="R428" s="18">
        <f t="shared" si="241"/>
        <v>810.78193583642587</v>
      </c>
      <c r="S428" s="18">
        <f t="shared" si="242"/>
        <v>1.5695629492252483</v>
      </c>
      <c r="T428" s="18" t="str">
        <f t="shared" si="234"/>
        <v>1+0.162156263829513i</v>
      </c>
      <c r="U428" s="18">
        <f t="shared" si="243"/>
        <v>1.0130620187822394</v>
      </c>
      <c r="V428" s="18">
        <f t="shared" si="244"/>
        <v>0.16075699341948441</v>
      </c>
      <c r="W428" s="32" t="str">
        <f t="shared" si="235"/>
        <v>1-7.68125821405676i</v>
      </c>
      <c r="X428" s="18">
        <f t="shared" si="245"/>
        <v>7.7460782174603979</v>
      </c>
      <c r="Y428" s="18">
        <f t="shared" si="246"/>
        <v>-1.4413374302012678</v>
      </c>
      <c r="Z428" s="32" t="str">
        <f t="shared" si="236"/>
        <v>0.482483855522902+0.819683180835465i</v>
      </c>
      <c r="AA428" s="18">
        <f t="shared" si="247"/>
        <v>0.95114204395809898</v>
      </c>
      <c r="AB428" s="18">
        <f t="shared" si="248"/>
        <v>1.0387847385997075</v>
      </c>
      <c r="AC428" s="69" t="str">
        <f t="shared" si="249"/>
        <v>-0.915772104898472+0.848583529118255i</v>
      </c>
      <c r="AD428" s="67">
        <f t="shared" si="250"/>
        <v>1.9277160570487606</v>
      </c>
      <c r="AE428" s="64">
        <f t="shared" si="251"/>
        <v>137.18083163030749</v>
      </c>
      <c r="AF428" s="32" t="str">
        <f t="shared" si="237"/>
        <v>-0.0000198412698412698</v>
      </c>
      <c r="AG428" s="32" t="str">
        <f t="shared" si="238"/>
        <v>0.0273688133097616i</v>
      </c>
      <c r="AH428" s="32">
        <f t="shared" si="252"/>
        <v>2.7368813309761601E-2</v>
      </c>
      <c r="AI428" s="32">
        <f t="shared" si="253"/>
        <v>1.5707963267948966</v>
      </c>
      <c r="AJ428" s="32" t="str">
        <f t="shared" si="239"/>
        <v>1+9.49975542741582i</v>
      </c>
      <c r="AK428" s="32">
        <f t="shared" si="254"/>
        <v>9.55224335853711</v>
      </c>
      <c r="AL428" s="32">
        <f t="shared" si="255"/>
        <v>1.4659167077489177</v>
      </c>
      <c r="AM428" s="32" t="str">
        <f t="shared" si="240"/>
        <v>1+205.432211117867i</v>
      </c>
      <c r="AN428" s="32">
        <f t="shared" si="256"/>
        <v>205.43464499634885</v>
      </c>
      <c r="AO428" s="32">
        <f t="shared" si="257"/>
        <v>1.5659285794429862</v>
      </c>
      <c r="AP428" s="61" t="str">
        <f t="shared" si="258"/>
        <v>-0.00155671504084747+0.0155133712427443i</v>
      </c>
      <c r="AQ428" s="52">
        <f t="shared" si="259"/>
        <v>-36.142363919026131</v>
      </c>
      <c r="AR428" s="64">
        <f t="shared" si="260"/>
        <v>95.730258149274007</v>
      </c>
      <c r="AS428" s="61" t="str">
        <f t="shared" si="261"/>
        <v>-0.0117387951080056-0.0155277153802332i</v>
      </c>
      <c r="AT428" s="67">
        <f t="shared" si="262"/>
        <v>-34.214647861977369</v>
      </c>
      <c r="AU428" s="64">
        <f t="shared" si="263"/>
        <v>-127.08891022041844</v>
      </c>
    </row>
    <row r="429" spans="14:47" x14ac:dyDescent="0.25">
      <c r="N429" s="11">
        <v>11</v>
      </c>
      <c r="O429" s="53">
        <f t="shared" si="264"/>
        <v>128824.95516931375</v>
      </c>
      <c r="P429" s="51" t="str">
        <f t="shared" si="232"/>
        <v>122.692307692308</v>
      </c>
      <c r="Q429" s="18" t="str">
        <f t="shared" si="233"/>
        <v>1+829.666842155848i</v>
      </c>
      <c r="R429" s="18">
        <f t="shared" si="241"/>
        <v>829.66744480716909</v>
      </c>
      <c r="S429" s="18">
        <f t="shared" si="242"/>
        <v>1.5695910242988367</v>
      </c>
      <c r="T429" s="18" t="str">
        <f t="shared" si="234"/>
        <v>1+0.16593336843117i</v>
      </c>
      <c r="U429" s="18">
        <f t="shared" si="243"/>
        <v>1.0136734596303261</v>
      </c>
      <c r="V429" s="18">
        <f t="shared" si="244"/>
        <v>0.16443511331924526</v>
      </c>
      <c r="W429" s="32" t="str">
        <f t="shared" si="235"/>
        <v>1-7.86017770234328i</v>
      </c>
      <c r="X429" s="18">
        <f t="shared" si="245"/>
        <v>7.9235341554393814</v>
      </c>
      <c r="Y429" s="18">
        <f t="shared" si="246"/>
        <v>-1.4442525570012852</v>
      </c>
      <c r="Z429" s="32" t="str">
        <f t="shared" si="236"/>
        <v>0.458094071040796+0.83877605483933i</v>
      </c>
      <c r="AA429" s="18">
        <f t="shared" si="247"/>
        <v>0.95571724275256265</v>
      </c>
      <c r="AB429" s="18">
        <f t="shared" si="248"/>
        <v>1.0709169622757735</v>
      </c>
      <c r="AC429" s="69" t="str">
        <f t="shared" si="249"/>
        <v>-0.884629479941021+0.872914595494463i</v>
      </c>
      <c r="AD429" s="67">
        <f t="shared" si="250"/>
        <v>1.8880174904993035</v>
      </c>
      <c r="AE429" s="64">
        <f t="shared" si="251"/>
        <v>135.38189852848535</v>
      </c>
      <c r="AF429" s="32" t="str">
        <f t="shared" si="237"/>
        <v>-0.0000198412698412698</v>
      </c>
      <c r="AG429" s="32" t="str">
        <f t="shared" si="238"/>
        <v>0.0280063148669194i</v>
      </c>
      <c r="AH429" s="32">
        <f t="shared" si="252"/>
        <v>2.8006314866919398E-2</v>
      </c>
      <c r="AI429" s="32">
        <f t="shared" si="253"/>
        <v>1.5707963267948966</v>
      </c>
      <c r="AJ429" s="32" t="str">
        <f t="shared" si="239"/>
        <v>1+9.72103315725568i</v>
      </c>
      <c r="AK429" s="32">
        <f t="shared" si="254"/>
        <v>9.7723326613692585</v>
      </c>
      <c r="AL429" s="32">
        <f t="shared" si="255"/>
        <v>1.4682871779119273</v>
      </c>
      <c r="AM429" s="32" t="str">
        <f t="shared" si="240"/>
        <v>1+210.217342025654i</v>
      </c>
      <c r="AN429" s="32">
        <f t="shared" si="256"/>
        <v>210.21972050293189</v>
      </c>
      <c r="AO429" s="32">
        <f t="shared" si="257"/>
        <v>1.5660393812093949</v>
      </c>
      <c r="AP429" s="61" t="str">
        <f t="shared" si="258"/>
        <v>-0.0014873849856916+0.0151673757645691i</v>
      </c>
      <c r="AQ429" s="52">
        <f t="shared" si="259"/>
        <v>-36.340225833861687</v>
      </c>
      <c r="AR429" s="64">
        <f t="shared" si="260"/>
        <v>95.6007886870497</v>
      </c>
      <c r="AS429" s="61" t="str">
        <f t="shared" si="261"/>
        <v>-0.0119240390738769-0.0147158677978103i</v>
      </c>
      <c r="AT429" s="67">
        <f t="shared" si="262"/>
        <v>-34.4522083433624</v>
      </c>
      <c r="AU429" s="64">
        <f t="shared" si="263"/>
        <v>-129.01731278446499</v>
      </c>
    </row>
    <row r="430" spans="14:47" x14ac:dyDescent="0.25">
      <c r="N430" s="11">
        <v>12</v>
      </c>
      <c r="O430" s="53">
        <f t="shared" si="264"/>
        <v>131825.67385564081</v>
      </c>
      <c r="P430" s="51" t="str">
        <f t="shared" si="232"/>
        <v>122.692307692308</v>
      </c>
      <c r="Q430" s="18" t="str">
        <f t="shared" si="233"/>
        <v>1+848.99226550578i</v>
      </c>
      <c r="R430" s="18">
        <f t="shared" si="241"/>
        <v>848.99285443909173</v>
      </c>
      <c r="S430" s="18">
        <f t="shared" si="242"/>
        <v>1.5696184603075645</v>
      </c>
      <c r="T430" s="18" t="str">
        <f t="shared" si="234"/>
        <v>1+0.169798453101156i</v>
      </c>
      <c r="U430" s="18">
        <f t="shared" si="243"/>
        <v>1.0143133217480413</v>
      </c>
      <c r="V430" s="18">
        <f t="shared" si="244"/>
        <v>0.16819426482746069</v>
      </c>
      <c r="W430" s="32" t="str">
        <f t="shared" si="235"/>
        <v>1-8.0432647608893i</v>
      </c>
      <c r="X430" s="18">
        <f t="shared" si="245"/>
        <v>8.1051901898575842</v>
      </c>
      <c r="Y430" s="18">
        <f t="shared" si="246"/>
        <v>-1.4471034183189528</v>
      </c>
      <c r="Z430" s="32" t="str">
        <f t="shared" si="236"/>
        <v>0.432554831428777+0.858313659009982i</v>
      </c>
      <c r="AA430" s="18">
        <f t="shared" si="247"/>
        <v>0.96114828171072608</v>
      </c>
      <c r="AB430" s="18">
        <f t="shared" si="248"/>
        <v>1.1039865934491855</v>
      </c>
      <c r="AC430" s="69" t="str">
        <f t="shared" si="249"/>
        <v>-0.851472687898691+0.896085998355686i</v>
      </c>
      <c r="AD430" s="67">
        <f t="shared" si="250"/>
        <v>1.8411649150455567</v>
      </c>
      <c r="AE430" s="64">
        <f t="shared" si="251"/>
        <v>133.53761745917939</v>
      </c>
      <c r="AF430" s="32" t="str">
        <f t="shared" si="237"/>
        <v>-0.0000198412698412698</v>
      </c>
      <c r="AG430" s="32" t="str">
        <f t="shared" si="238"/>
        <v>0.0286586657429268i</v>
      </c>
      <c r="AH430" s="32">
        <f t="shared" si="252"/>
        <v>2.86586657429268E-2</v>
      </c>
      <c r="AI430" s="32">
        <f t="shared" si="253"/>
        <v>1.5707963267948966</v>
      </c>
      <c r="AJ430" s="32" t="str">
        <f t="shared" si="239"/>
        <v>1+9.94746510754857i</v>
      </c>
      <c r="AK430" s="32">
        <f t="shared" si="254"/>
        <v>9.9976028159702501</v>
      </c>
      <c r="AL430" s="32">
        <f t="shared" si="255"/>
        <v>1.4706048072213254</v>
      </c>
      <c r="AM430" s="32" t="str">
        <f t="shared" si="240"/>
        <v>1+215.113932950738i</v>
      </c>
      <c r="AN430" s="32">
        <f t="shared" si="256"/>
        <v>215.11625728785492</v>
      </c>
      <c r="AO430" s="32">
        <f t="shared" si="257"/>
        <v>1.5661476609325424</v>
      </c>
      <c r="AP430" s="61" t="str">
        <f t="shared" si="258"/>
        <v>-0.00142111138847956+0.0148287865017198i</v>
      </c>
      <c r="AQ430" s="52">
        <f t="shared" si="259"/>
        <v>-36.538182991042575</v>
      </c>
      <c r="AR430" s="64">
        <f t="shared" si="260"/>
        <v>95.474202280288551</v>
      </c>
      <c r="AS430" s="61" t="str">
        <f t="shared" si="261"/>
        <v>-0.0120778304230448-0.0138997447182155i</v>
      </c>
      <c r="AT430" s="67">
        <f t="shared" si="262"/>
        <v>-34.697018075997022</v>
      </c>
      <c r="AU430" s="64">
        <f t="shared" si="263"/>
        <v>-130.98818026053218</v>
      </c>
    </row>
    <row r="431" spans="14:47" x14ac:dyDescent="0.25">
      <c r="N431" s="11">
        <v>13</v>
      </c>
      <c r="O431" s="53">
        <f t="shared" si="264"/>
        <v>134896.28825916545</v>
      </c>
      <c r="P431" s="51" t="str">
        <f t="shared" si="232"/>
        <v>122.692307692308</v>
      </c>
      <c r="Q431" s="18" t="str">
        <f t="shared" si="233"/>
        <v>1+868.767835792626i</v>
      </c>
      <c r="R431" s="18">
        <f t="shared" si="241"/>
        <v>868.76841132018785</v>
      </c>
      <c r="S431" s="18">
        <f t="shared" si="242"/>
        <v>1.5696452717982012</v>
      </c>
      <c r="T431" s="18" t="str">
        <f t="shared" si="234"/>
        <v>1+0.173753567158525i</v>
      </c>
      <c r="U431" s="18">
        <f t="shared" si="243"/>
        <v>1.0149829072946559</v>
      </c>
      <c r="V431" s="18">
        <f t="shared" si="244"/>
        <v>0.17203601591074816</v>
      </c>
      <c r="W431" s="32" t="str">
        <f t="shared" si="235"/>
        <v>1-8.23061646487675i</v>
      </c>
      <c r="X431" s="18">
        <f t="shared" si="245"/>
        <v>8.291142707244898</v>
      </c>
      <c r="Y431" s="18">
        <f t="shared" si="246"/>
        <v>-1.4498913402587703</v>
      </c>
      <c r="Z431" s="32" t="str">
        <f t="shared" si="236"/>
        <v>0.405811964535517+0.878306352443768i</v>
      </c>
      <c r="AA431" s="18">
        <f t="shared" si="247"/>
        <v>0.96752539982330799</v>
      </c>
      <c r="AB431" s="18">
        <f t="shared" si="248"/>
        <v>1.1379758258883244</v>
      </c>
      <c r="AC431" s="69" t="str">
        <f t="shared" si="249"/>
        <v>-0.816322995745325+0.917863759424124i</v>
      </c>
      <c r="AD431" s="67">
        <f t="shared" si="250"/>
        <v>1.7864811490330399</v>
      </c>
      <c r="AE431" s="64">
        <f t="shared" si="251"/>
        <v>131.64902166852036</v>
      </c>
      <c r="AF431" s="32" t="str">
        <f t="shared" si="237"/>
        <v>-0.0000198412698412698</v>
      </c>
      <c r="AG431" s="32" t="str">
        <f t="shared" si="238"/>
        <v>0.0293262118228536i</v>
      </c>
      <c r="AH431" s="32">
        <f t="shared" si="252"/>
        <v>2.9326211822853599E-2</v>
      </c>
      <c r="AI431" s="32">
        <f t="shared" si="253"/>
        <v>1.5707963267948966</v>
      </c>
      <c r="AJ431" s="32" t="str">
        <f t="shared" si="239"/>
        <v>1+10.1791713355118i</v>
      </c>
      <c r="AK431" s="32">
        <f t="shared" si="254"/>
        <v>10.228173301118098</v>
      </c>
      <c r="AL431" s="32">
        <f t="shared" si="255"/>
        <v>1.4728707248688953</v>
      </c>
      <c r="AM431" s="32" t="str">
        <f t="shared" si="240"/>
        <v>1+220.124580130442i</v>
      </c>
      <c r="AN431" s="32">
        <f t="shared" si="256"/>
        <v>220.12685155973904</v>
      </c>
      <c r="AO431" s="32">
        <f t="shared" si="257"/>
        <v>1.5662534760136093</v>
      </c>
      <c r="AP431" s="61" t="str">
        <f t="shared" si="258"/>
        <v>-0.00135776222666097+0.0144974655215922i</v>
      </c>
      <c r="AQ431" s="52">
        <f t="shared" si="259"/>
        <v>-36.736231189982512</v>
      </c>
      <c r="AR431" s="64">
        <f t="shared" si="260"/>
        <v>95.350437519912589</v>
      </c>
      <c r="AS431" s="61" t="str">
        <f t="shared" si="261"/>
        <v>-0.0121983256773925-0.0130808552270678i</v>
      </c>
      <c r="AT431" s="67">
        <f t="shared" si="262"/>
        <v>-34.949750040949475</v>
      </c>
      <c r="AU431" s="64">
        <f t="shared" si="263"/>
        <v>-133.00054081156705</v>
      </c>
    </row>
    <row r="432" spans="14:47" x14ac:dyDescent="0.25">
      <c r="N432" s="11">
        <v>14</v>
      </c>
      <c r="O432" s="53">
        <f t="shared" si="264"/>
        <v>138038.42646028858</v>
      </c>
      <c r="P432" s="51" t="str">
        <f t="shared" si="232"/>
        <v>122.692307692308</v>
      </c>
      <c r="Q432" s="18" t="str">
        <f t="shared" si="233"/>
        <v>1+889.004038285512i</v>
      </c>
      <c r="R432" s="18">
        <f t="shared" si="241"/>
        <v>889.00460071247562</v>
      </c>
      <c r="S432" s="18">
        <f t="shared" si="242"/>
        <v>1.5696714729863996</v>
      </c>
      <c r="T432" s="18" t="str">
        <f t="shared" si="234"/>
        <v>1+0.177800807657103i</v>
      </c>
      <c r="U432" s="18">
        <f t="shared" si="243"/>
        <v>1.0156835763186869</v>
      </c>
      <c r="V432" s="18">
        <f t="shared" si="244"/>
        <v>0.17596194968447662</v>
      </c>
      <c r="W432" s="32" t="str">
        <f t="shared" si="235"/>
        <v>1-8.42233215065898i</v>
      </c>
      <c r="X432" s="18">
        <f t="shared" si="245"/>
        <v>8.4814903676195925</v>
      </c>
      <c r="Y432" s="18">
        <f t="shared" si="246"/>
        <v>-1.4526176275678224</v>
      </c>
      <c r="Z432" s="32" t="str">
        <f t="shared" si="236"/>
        <v>0.377808745154859+0.898764735531378i</v>
      </c>
      <c r="AA432" s="18">
        <f t="shared" si="247"/>
        <v>0.97494486908249178</v>
      </c>
      <c r="AB432" s="18">
        <f t="shared" si="248"/>
        <v>1.1728585731532917</v>
      </c>
      <c r="AC432" s="69" t="str">
        <f t="shared" si="249"/>
        <v>-0.779233702287981+0.93800441068221i</v>
      </c>
      <c r="AD432" s="67">
        <f t="shared" si="250"/>
        <v>1.7232774336724697</v>
      </c>
      <c r="AE432" s="64">
        <f t="shared" si="251"/>
        <v>129.717620934248</v>
      </c>
      <c r="AF432" s="32" t="str">
        <f t="shared" si="237"/>
        <v>-0.0000198412698412698</v>
      </c>
      <c r="AG432" s="32" t="str">
        <f t="shared" si="238"/>
        <v>0.030009307048467i</v>
      </c>
      <c r="AH432" s="32">
        <f t="shared" si="252"/>
        <v>3.0009307048467E-2</v>
      </c>
      <c r="AI432" s="32">
        <f t="shared" si="253"/>
        <v>1.5707963267948966</v>
      </c>
      <c r="AJ432" s="32" t="str">
        <f t="shared" si="239"/>
        <v>1+10.4162746948543i</v>
      </c>
      <c r="AK432" s="32">
        <f t="shared" si="254"/>
        <v>10.46416640342947</v>
      </c>
      <c r="AL432" s="32">
        <f t="shared" si="255"/>
        <v>1.4750860391503777</v>
      </c>
      <c r="AM432" s="32" t="str">
        <f t="shared" si="240"/>
        <v>1+225.251940276225i</v>
      </c>
      <c r="AN432" s="32">
        <f t="shared" si="256"/>
        <v>225.25416000199431</v>
      </c>
      <c r="AO432" s="32">
        <f t="shared" si="257"/>
        <v>1.5663568825476684</v>
      </c>
      <c r="AP432" s="61" t="str">
        <f t="shared" si="258"/>
        <v>-0.00129721094267414+0.0141732760592308i</v>
      </c>
      <c r="AQ432" s="52">
        <f t="shared" si="259"/>
        <v>-36.934366411691485</v>
      </c>
      <c r="AR432" s="64">
        <f t="shared" si="260"/>
        <v>95.229434119264198</v>
      </c>
      <c r="AS432" s="61" t="str">
        <f t="shared" si="261"/>
        <v>-0.0122837649718666-0.0122610839629976i</v>
      </c>
      <c r="AT432" s="67">
        <f t="shared" si="262"/>
        <v>-35.211088978019006</v>
      </c>
      <c r="AU432" s="64">
        <f t="shared" si="263"/>
        <v>-135.05294494648777</v>
      </c>
    </row>
    <row r="433" spans="14:47" x14ac:dyDescent="0.25">
      <c r="N433" s="11">
        <v>15</v>
      </c>
      <c r="O433" s="53">
        <f t="shared" si="264"/>
        <v>141253.75446227577</v>
      </c>
      <c r="P433" s="51" t="str">
        <f t="shared" si="232"/>
        <v>122.692307692308</v>
      </c>
      <c r="Q433" s="18" t="str">
        <f t="shared" si="233"/>
        <v>1+909.711602486857i</v>
      </c>
      <c r="R433" s="18">
        <f t="shared" si="241"/>
        <v>909.71215211142783</v>
      </c>
      <c r="S433" s="18">
        <f t="shared" si="242"/>
        <v>1.569697077764233</v>
      </c>
      <c r="T433" s="18" t="str">
        <f t="shared" si="234"/>
        <v>1+0.181942320497372i</v>
      </c>
      <c r="U433" s="18">
        <f t="shared" si="243"/>
        <v>1.0164167491673719</v>
      </c>
      <c r="V433" s="18">
        <f t="shared" si="244"/>
        <v>0.17997366340797236</v>
      </c>
      <c r="W433" s="32" t="str">
        <f t="shared" si="235"/>
        <v>1-8.61851346843024i</v>
      </c>
      <c r="X433" s="18">
        <f t="shared" si="245"/>
        <v>8.676334157091544</v>
      </c>
      <c r="Y433" s="18">
        <f t="shared" si="246"/>
        <v>-1.4552835635644745</v>
      </c>
      <c r="Z433" s="32" t="str">
        <f t="shared" si="236"/>
        <v>0.348485774704038+0.919699655578326i</v>
      </c>
      <c r="AA433" s="18">
        <f t="shared" si="247"/>
        <v>0.98350891792701367</v>
      </c>
      <c r="AB433" s="18">
        <f t="shared" si="248"/>
        <v>1.2085998643858098</v>
      </c>
      <c r="AC433" s="69" t="str">
        <f t="shared" si="249"/>
        <v>-0.740293645234095+0.956259834776925i</v>
      </c>
      <c r="AD433" s="67">
        <f t="shared" si="250"/>
        <v>1.6508623933251796</v>
      </c>
      <c r="AE433" s="64">
        <f t="shared" si="251"/>
        <v>127.74543613048235</v>
      </c>
      <c r="AF433" s="32" t="str">
        <f t="shared" si="237"/>
        <v>-0.0000198412698412698</v>
      </c>
      <c r="AG433" s="32" t="str">
        <f t="shared" si="238"/>
        <v>0.0307083136058978i</v>
      </c>
      <c r="AH433" s="32">
        <f t="shared" si="252"/>
        <v>3.0708313605897802E-2</v>
      </c>
      <c r="AI433" s="32">
        <f t="shared" si="253"/>
        <v>1.5707963267948966</v>
      </c>
      <c r="AJ433" s="32" t="str">
        <f t="shared" si="239"/>
        <v>1+10.6589009009158i</v>
      </c>
      <c r="AK433" s="32">
        <f t="shared" si="254"/>
        <v>10.705707282358492</v>
      </c>
      <c r="AL433" s="32">
        <f t="shared" si="255"/>
        <v>1.4772518376315797</v>
      </c>
      <c r="AM433" s="32" t="str">
        <f t="shared" si="240"/>
        <v>1+230.498731982304i</v>
      </c>
      <c r="AN433" s="32">
        <f t="shared" si="256"/>
        <v>230.50090118142711</v>
      </c>
      <c r="AO433" s="32">
        <f t="shared" si="257"/>
        <v>1.5664579353533818</v>
      </c>
      <c r="AP433" s="61" t="str">
        <f t="shared" si="258"/>
        <v>-0.00123933623861702+0.013856082614514i</v>
      </c>
      <c r="AQ433" s="52">
        <f t="shared" si="259"/>
        <v>-37.132584811246588</v>
      </c>
      <c r="AR433" s="64">
        <f t="shared" si="260"/>
        <v>95.11113290629082</v>
      </c>
      <c r="AS433" s="61" t="str">
        <f t="shared" si="261"/>
        <v>-0.0123325425298541-0.0114426973741363i</v>
      </c>
      <c r="AT433" s="67">
        <f t="shared" si="262"/>
        <v>-35.481722417921397</v>
      </c>
      <c r="AU433" s="64">
        <f t="shared" si="263"/>
        <v>-137.1434309632269</v>
      </c>
    </row>
    <row r="434" spans="14:47" x14ac:dyDescent="0.25">
      <c r="N434" s="11">
        <v>16</v>
      </c>
      <c r="O434" s="53">
        <f t="shared" si="264"/>
        <v>144543.97707459307</v>
      </c>
      <c r="P434" s="51" t="str">
        <f t="shared" si="232"/>
        <v>122.692307692308</v>
      </c>
      <c r="Q434" s="18" t="str">
        <f t="shared" si="233"/>
        <v>1+930.901507821296i</v>
      </c>
      <c r="R434" s="18">
        <f t="shared" si="241"/>
        <v>930.90204493489125</v>
      </c>
      <c r="S434" s="18">
        <f t="shared" si="242"/>
        <v>1.5697220997075587</v>
      </c>
      <c r="T434" s="18" t="str">
        <f t="shared" si="234"/>
        <v>1+0.186180301564259i</v>
      </c>
      <c r="U434" s="18">
        <f t="shared" si="243"/>
        <v>1.0171839089813397</v>
      </c>
      <c r="V434" s="18">
        <f t="shared" si="244"/>
        <v>0.18407276737855924</v>
      </c>
      <c r="W434" s="32" t="str">
        <f t="shared" si="235"/>
        <v>1-8.81926443612196i</v>
      </c>
      <c r="X434" s="18">
        <f t="shared" si="245"/>
        <v>8.8757774416805653</v>
      </c>
      <c r="Y434" s="18">
        <f t="shared" si="246"/>
        <v>-1.4578904101025514</v>
      </c>
      <c r="Z434" s="32" t="str">
        <f t="shared" si="236"/>
        <v>0.317780855231333+0.941122212556324i</v>
      </c>
      <c r="AA434" s="18">
        <f t="shared" si="247"/>
        <v>0.99332557146107336</v>
      </c>
      <c r="AB434" s="18">
        <f t="shared" si="248"/>
        <v>1.2451553815417356</v>
      </c>
      <c r="AC434" s="69" t="str">
        <f t="shared" si="249"/>
        <v>-0.699629934684418+0.972383148958765i</v>
      </c>
      <c r="AD434" s="67">
        <f t="shared" si="250"/>
        <v>1.5685524039904108</v>
      </c>
      <c r="AE434" s="64">
        <f t="shared" si="251"/>
        <v>125.7350256806117</v>
      </c>
      <c r="AF434" s="32" t="str">
        <f t="shared" si="237"/>
        <v>-0.0000198412698412698</v>
      </c>
      <c r="AG434" s="32" t="str">
        <f t="shared" si="238"/>
        <v>0.031423602117675i</v>
      </c>
      <c r="AH434" s="32">
        <f t="shared" si="252"/>
        <v>3.1423602117674997E-2</v>
      </c>
      <c r="AI434" s="32">
        <f t="shared" si="253"/>
        <v>1.5707963267948966</v>
      </c>
      <c r="AJ434" s="32" t="str">
        <f t="shared" si="239"/>
        <v>1+10.9071785973221i</v>
      </c>
      <c r="AK434" s="32">
        <f t="shared" si="254"/>
        <v>10.952924036707333</v>
      </c>
      <c r="AL434" s="32">
        <f t="shared" si="255"/>
        <v>1.4793691873301444</v>
      </c>
      <c r="AM434" s="32" t="str">
        <f t="shared" si="240"/>
        <v>1+235.867737167091i</v>
      </c>
      <c r="AN434" s="32">
        <f t="shared" si="256"/>
        <v>235.86985698966268</v>
      </c>
      <c r="AO434" s="32">
        <f t="shared" si="257"/>
        <v>1.566556688002025</v>
      </c>
      <c r="AP434" s="61" t="str">
        <f t="shared" si="258"/>
        <v>-0.00118402187675294+0.0135457510397001i</v>
      </c>
      <c r="AQ434" s="52">
        <f t="shared" si="259"/>
        <v>-37.330882710544159</v>
      </c>
      <c r="AR434" s="64">
        <f t="shared" si="260"/>
        <v>94.995475814792783</v>
      </c>
      <c r="AS434" s="61" t="str">
        <f t="shared" si="261"/>
        <v>-0.0123432829026975-0.0106283358361099i</v>
      </c>
      <c r="AT434" s="67">
        <f t="shared" si="262"/>
        <v>-35.762330306553721</v>
      </c>
      <c r="AU434" s="64">
        <f t="shared" si="263"/>
        <v>-139.2694985045955</v>
      </c>
    </row>
    <row r="435" spans="14:47" x14ac:dyDescent="0.25">
      <c r="N435" s="11">
        <v>17</v>
      </c>
      <c r="O435" s="53">
        <f t="shared" si="264"/>
        <v>147910.83881682079</v>
      </c>
      <c r="P435" s="51" t="str">
        <f t="shared" si="232"/>
        <v>122.692307692308</v>
      </c>
      <c r="Q435" s="18" t="str">
        <f t="shared" si="233"/>
        <v>1+952.584989457117i</v>
      </c>
      <c r="R435" s="18">
        <f t="shared" si="241"/>
        <v>952.5855143445209</v>
      </c>
      <c r="S435" s="18">
        <f t="shared" si="242"/>
        <v>1.569746552083217</v>
      </c>
      <c r="T435" s="18" t="str">
        <f t="shared" si="234"/>
        <v>1+0.190516997891424i</v>
      </c>
      <c r="U435" s="18">
        <f t="shared" si="243"/>
        <v>1.0179866042760881</v>
      </c>
      <c r="V435" s="18">
        <f t="shared" si="244"/>
        <v>0.18826088371861421</v>
      </c>
      <c r="W435" s="32" t="str">
        <f t="shared" si="235"/>
        <v>1-9.02469149455446i</v>
      </c>
      <c r="X435" s="18">
        <f t="shared" si="245"/>
        <v>9.0799260223794569</v>
      </c>
      <c r="Y435" s="18">
        <f t="shared" si="246"/>
        <v>-1.4604394075682834</v>
      </c>
      <c r="Z435" s="32" t="str">
        <f t="shared" si="236"/>
        <v>0.285628857485863+0.963043764988643i</v>
      </c>
      <c r="AA435" s="18">
        <f t="shared" si="247"/>
        <v>1.0045084058942364</v>
      </c>
      <c r="AB435" s="18">
        <f t="shared" si="248"/>
        <v>1.282471180776221</v>
      </c>
      <c r="AC435" s="69" t="str">
        <f t="shared" si="249"/>
        <v>-0.657409602402295+0.9861355130651i</v>
      </c>
      <c r="AD435" s="67">
        <f t="shared" si="250"/>
        <v>1.4756831999940789</v>
      </c>
      <c r="AE435" s="64">
        <f t="shared" si="251"/>
        <v>123.68950145101292</v>
      </c>
      <c r="AF435" s="32" t="str">
        <f t="shared" si="237"/>
        <v>-0.0000198412698412698</v>
      </c>
      <c r="AG435" s="32" t="str">
        <f t="shared" si="238"/>
        <v>0.0321555518392354i</v>
      </c>
      <c r="AH435" s="32">
        <f t="shared" si="252"/>
        <v>3.2155551839235401E-2</v>
      </c>
      <c r="AI435" s="32">
        <f t="shared" si="253"/>
        <v>1.5707963267948966</v>
      </c>
      <c r="AJ435" s="32" t="str">
        <f t="shared" si="239"/>
        <v>1+11.1612394241944i</v>
      </c>
      <c r="AK435" s="32">
        <f t="shared" si="254"/>
        <v>11.205947772687116</v>
      </c>
      <c r="AL435" s="32">
        <f t="shared" si="255"/>
        <v>1.4814391349114817</v>
      </c>
      <c r="AM435" s="32" t="str">
        <f t="shared" si="240"/>
        <v>1+241.361802548203i</v>
      </c>
      <c r="AN435" s="32">
        <f t="shared" si="256"/>
        <v>241.36387411814081</v>
      </c>
      <c r="AO435" s="32">
        <f t="shared" si="257"/>
        <v>1.5666531928458503</v>
      </c>
      <c r="AP435" s="61" t="str">
        <f t="shared" si="258"/>
        <v>-0.00113115648586635+0.0132421486179547i</v>
      </c>
      <c r="AQ435" s="52">
        <f t="shared" si="259"/>
        <v>-37.529256591330203</v>
      </c>
      <c r="AR435" s="64">
        <f t="shared" si="260"/>
        <v>94.882405874822595</v>
      </c>
      <c r="AS435" s="61" t="str">
        <f t="shared" si="261"/>
        <v>-0.0123149198858229-0.00982098923942843i</v>
      </c>
      <c r="AT435" s="67">
        <f t="shared" si="262"/>
        <v>-36.053573391336116</v>
      </c>
      <c r="AU435" s="64">
        <f t="shared" si="263"/>
        <v>-141.4280926741645</v>
      </c>
    </row>
    <row r="436" spans="14:47" x14ac:dyDescent="0.25">
      <c r="N436" s="11">
        <v>18</v>
      </c>
      <c r="O436" s="53">
        <f t="shared" si="264"/>
        <v>151356.12484362084</v>
      </c>
      <c r="P436" s="51" t="str">
        <f t="shared" si="232"/>
        <v>122.692307692308</v>
      </c>
      <c r="Q436" s="18" t="str">
        <f t="shared" si="233"/>
        <v>1+974.773544263305i</v>
      </c>
      <c r="R436" s="18">
        <f t="shared" si="241"/>
        <v>974.77405720281934</v>
      </c>
      <c r="S436" s="18">
        <f t="shared" si="242"/>
        <v>1.5697704478560641</v>
      </c>
      <c r="T436" s="18" t="str">
        <f t="shared" si="234"/>
        <v>1+0.194954708852661i</v>
      </c>
      <c r="U436" s="18">
        <f t="shared" si="243"/>
        <v>1.0188264516117678</v>
      </c>
      <c r="V436" s="18">
        <f t="shared" si="244"/>
        <v>0.1925396450496569</v>
      </c>
      <c r="W436" s="32" t="str">
        <f t="shared" si="235"/>
        <v>1-9.23490356387331i</v>
      </c>
      <c r="X436" s="18">
        <f t="shared" si="245"/>
        <v>9.2888881914920223</v>
      </c>
      <c r="Y436" s="18">
        <f t="shared" si="246"/>
        <v>-1.4629317749074513</v>
      </c>
      <c r="Z436" s="32" t="str">
        <f t="shared" si="236"/>
        <v>0.251961582769708+0.985475935972552i</v>
      </c>
      <c r="AA436" s="18">
        <f t="shared" si="247"/>
        <v>1.01717621854465</v>
      </c>
      <c r="AB436" s="18">
        <f t="shared" si="248"/>
        <v>1.3204836385613703</v>
      </c>
      <c r="AC436" s="69" t="str">
        <f t="shared" si="249"/>
        <v>-0.613839869171364+0.997293644548093i</v>
      </c>
      <c r="AD436" s="67">
        <f t="shared" si="250"/>
        <v>1.3716224455334001</v>
      </c>
      <c r="AE436" s="64">
        <f t="shared" si="251"/>
        <v>121.61253176035427</v>
      </c>
      <c r="AF436" s="32" t="str">
        <f t="shared" si="237"/>
        <v>-0.0000198412698412698</v>
      </c>
      <c r="AG436" s="32" t="str">
        <f t="shared" si="238"/>
        <v>0.0329045508600101i</v>
      </c>
      <c r="AH436" s="32">
        <f t="shared" si="252"/>
        <v>3.2904550860010102E-2</v>
      </c>
      <c r="AI436" s="32">
        <f t="shared" si="253"/>
        <v>1.5707963267948966</v>
      </c>
      <c r="AJ436" s="32" t="str">
        <f t="shared" si="239"/>
        <v>1+11.4212180879458i</v>
      </c>
      <c r="AK436" s="32">
        <f t="shared" si="254"/>
        <v>11.464912673562775</v>
      </c>
      <c r="AL436" s="32">
        <f t="shared" si="255"/>
        <v>1.483462706897402</v>
      </c>
      <c r="AM436" s="32" t="str">
        <f t="shared" si="240"/>
        <v>1+246.983841151827i</v>
      </c>
      <c r="AN436" s="32">
        <f t="shared" si="256"/>
        <v>246.98586556746707</v>
      </c>
      <c r="AO436" s="32">
        <f t="shared" si="257"/>
        <v>1.5667475010458092</v>
      </c>
      <c r="AP436" s="61" t="str">
        <f t="shared" si="258"/>
        <v>-0.00108063337346284+0.0129451441334619i</v>
      </c>
      <c r="AQ436" s="52">
        <f t="shared" si="259"/>
        <v>-37.727703088497172</v>
      </c>
      <c r="AR436" s="64">
        <f t="shared" si="260"/>
        <v>94.771867202319584</v>
      </c>
      <c r="AS436" s="61" t="str">
        <f t="shared" si="261"/>
        <v>-0.0122467741234719-0.00902395437672976i</v>
      </c>
      <c r="AT436" s="67">
        <f t="shared" si="262"/>
        <v>-36.356080642963789</v>
      </c>
      <c r="AU436" s="64">
        <f t="shared" si="263"/>
        <v>-143.61560103732603</v>
      </c>
    </row>
    <row r="437" spans="14:47" x14ac:dyDescent="0.25">
      <c r="N437" s="11">
        <v>19</v>
      </c>
      <c r="O437" s="53">
        <f t="shared" si="264"/>
        <v>154881.66189124843</v>
      </c>
      <c r="P437" s="51" t="str">
        <f t="shared" si="232"/>
        <v>122.692307692308</v>
      </c>
      <c r="Q437" s="18" t="str">
        <f t="shared" si="233"/>
        <v>1+997.478936905315i</v>
      </c>
      <c r="R437" s="18">
        <f t="shared" si="241"/>
        <v>997.47943816890643</v>
      </c>
      <c r="S437" s="18">
        <f t="shared" si="242"/>
        <v>1.569793799695846</v>
      </c>
      <c r="T437" s="18" t="str">
        <f t="shared" si="234"/>
        <v>1+0.199495787381063i</v>
      </c>
      <c r="U437" s="18">
        <f t="shared" si="243"/>
        <v>1.0197051383526465</v>
      </c>
      <c r="V437" s="18">
        <f t="shared" si="244"/>
        <v>0.19691069304736508</v>
      </c>
      <c r="W437" s="32" t="str">
        <f t="shared" si="235"/>
        <v>1-9.45001210130013i</v>
      </c>
      <c r="X437" s="18">
        <f t="shared" si="245"/>
        <v>9.5027747902767263</v>
      </c>
      <c r="Y437" s="18">
        <f t="shared" si="246"/>
        <v>-1.4653687096803092</v>
      </c>
      <c r="Z437" s="32" t="str">
        <f t="shared" si="236"/>
        <v>0.216707618279349+1.00843061934203i</v>
      </c>
      <c r="AA437" s="18">
        <f t="shared" si="247"/>
        <v>1.0314526192932267</v>
      </c>
      <c r="AB437" s="18">
        <f t="shared" si="248"/>
        <v>1.3591196574049462</v>
      </c>
      <c r="AC437" s="69" t="str">
        <f t="shared" si="249"/>
        <v>-0.569166778409712+1.00565772384204i</v>
      </c>
      <c r="AD437" s="67">
        <f t="shared" si="250"/>
        <v>1.2557828931662289</v>
      </c>
      <c r="AE437" s="64">
        <f t="shared" si="251"/>
        <v>119.50832950645059</v>
      </c>
      <c r="AF437" s="32" t="str">
        <f t="shared" si="237"/>
        <v>-0.0000198412698412698</v>
      </c>
      <c r="AG437" s="32" t="str">
        <f t="shared" si="238"/>
        <v>0.033670996309194i</v>
      </c>
      <c r="AH437" s="32">
        <f t="shared" si="252"/>
        <v>3.3670996309193998E-2</v>
      </c>
      <c r="AI437" s="32">
        <f t="shared" si="253"/>
        <v>1.5707963267948966</v>
      </c>
      <c r="AJ437" s="32" t="str">
        <f t="shared" si="239"/>
        <v>1+11.6872524327051i</v>
      </c>
      <c r="AK437" s="32">
        <f t="shared" si="254"/>
        <v>11.729956070922483</v>
      </c>
      <c r="AL437" s="32">
        <f t="shared" si="255"/>
        <v>1.4854409098861465</v>
      </c>
      <c r="AM437" s="32" t="str">
        <f t="shared" si="240"/>
        <v>1+252.736833857248i</v>
      </c>
      <c r="AN437" s="32">
        <f t="shared" si="256"/>
        <v>252.73881219192708</v>
      </c>
      <c r="AO437" s="32">
        <f t="shared" si="257"/>
        <v>1.5668396625986434</v>
      </c>
      <c r="AP437" s="61" t="str">
        <f t="shared" si="258"/>
        <v>-0.00103235034378605+0.0126546079336806i</v>
      </c>
      <c r="AQ437" s="52">
        <f t="shared" si="259"/>
        <v>-37.926218983641029</v>
      </c>
      <c r="AR437" s="64">
        <f t="shared" si="260"/>
        <v>94.663804988055105</v>
      </c>
      <c r="AS437" s="61" t="str">
        <f t="shared" si="261"/>
        <v>-0.0121386246913358-0.0082407735265904i</v>
      </c>
      <c r="AT437" s="67">
        <f t="shared" si="262"/>
        <v>-36.670436090474794</v>
      </c>
      <c r="AU437" s="64">
        <f t="shared" si="263"/>
        <v>-145.82786550549429</v>
      </c>
    </row>
    <row r="438" spans="14:47" x14ac:dyDescent="0.25">
      <c r="N438" s="11">
        <v>20</v>
      </c>
      <c r="O438" s="53">
        <f t="shared" si="264"/>
        <v>158489.31924611164</v>
      </c>
      <c r="P438" s="51" t="str">
        <f t="shared" si="232"/>
        <v>122.692307692308</v>
      </c>
      <c r="Q438" s="18" t="str">
        <f t="shared" si="233"/>
        <v>1+1020.71320608286i</v>
      </c>
      <c r="R438" s="18">
        <f t="shared" si="241"/>
        <v>1020.7136959363046</v>
      </c>
      <c r="S438" s="18">
        <f t="shared" si="242"/>
        <v>1.5698166199839152</v>
      </c>
      <c r="T438" s="18" t="str">
        <f t="shared" si="234"/>
        <v>1+0.204142641216573i</v>
      </c>
      <c r="U438" s="18">
        <f t="shared" si="243"/>
        <v>1.0206244255174763</v>
      </c>
      <c r="V438" s="18">
        <f t="shared" si="244"/>
        <v>0.20137567687122859</v>
      </c>
      <c r="W438" s="32" t="str">
        <f t="shared" si="235"/>
        <v>1-9.67013116022874i</v>
      </c>
      <c r="X438" s="18">
        <f t="shared" si="245"/>
        <v>9.721699267927745</v>
      </c>
      <c r="Y438" s="18">
        <f t="shared" si="246"/>
        <v>-1.4677513881420137</v>
      </c>
      <c r="Z438" s="32" t="str">
        <f t="shared" si="236"/>
        <v>0.179792185629525+1.03191998597404i</v>
      </c>
      <c r="AA438" s="18">
        <f t="shared" si="247"/>
        <v>1.047465554310071</v>
      </c>
      <c r="AB438" s="18">
        <f t="shared" si="248"/>
        <v>1.3982971564843756</v>
      </c>
      <c r="AC438" s="69" t="str">
        <f t="shared" si="249"/>
        <v>-0.52367202576049+1.01105928350104i</v>
      </c>
      <c r="AD438" s="67">
        <f t="shared" si="250"/>
        <v>1.1276356557533027</v>
      </c>
      <c r="AE438" s="64">
        <f t="shared" si="251"/>
        <v>117.38162396003688</v>
      </c>
      <c r="AF438" s="32" t="str">
        <f t="shared" si="237"/>
        <v>-0.0000198412698412698</v>
      </c>
      <c r="AG438" s="32" t="str">
        <f t="shared" si="238"/>
        <v>0.0344552945663094i</v>
      </c>
      <c r="AH438" s="32">
        <f t="shared" si="252"/>
        <v>3.44552945663094E-2</v>
      </c>
      <c r="AI438" s="32">
        <f t="shared" si="253"/>
        <v>1.5707963267948966</v>
      </c>
      <c r="AJ438" s="32" t="str">
        <f t="shared" si="239"/>
        <v>1+11.9594835134033i</v>
      </c>
      <c r="AK438" s="32">
        <f t="shared" si="254"/>
        <v>12.001218517607509</v>
      </c>
      <c r="AL438" s="32">
        <f t="shared" si="255"/>
        <v>1.4873747307825496</v>
      </c>
      <c r="AM438" s="32" t="str">
        <f t="shared" si="240"/>
        <v>1+258.623830977347i</v>
      </c>
      <c r="AN438" s="32">
        <f t="shared" si="256"/>
        <v>258.62576427997141</v>
      </c>
      <c r="AO438" s="32">
        <f t="shared" si="257"/>
        <v>1.5669297263633624</v>
      </c>
      <c r="AP438" s="61" t="str">
        <f t="shared" si="258"/>
        <v>-0.000986209521607976+0.012370411984281i</v>
      </c>
      <c r="AQ438" s="52">
        <f t="shared" si="259"/>
        <v>-38.12480119886969</v>
      </c>
      <c r="AR438" s="64">
        <f t="shared" si="260"/>
        <v>94.558165485962476</v>
      </c>
      <c r="AS438" s="61" t="str">
        <f t="shared" si="261"/>
        <v>-0.0119907695394351-0.00747515499559914i</v>
      </c>
      <c r="AT438" s="67">
        <f t="shared" si="262"/>
        <v>-36.997165543116381</v>
      </c>
      <c r="AU438" s="64">
        <f t="shared" si="263"/>
        <v>-148.06021055400066</v>
      </c>
    </row>
    <row r="439" spans="14:47" x14ac:dyDescent="0.25">
      <c r="N439" s="11">
        <v>21</v>
      </c>
      <c r="O439" s="53">
        <f t="shared" si="264"/>
        <v>162181.00973589328</v>
      </c>
      <c r="P439" s="51" t="str">
        <f t="shared" si="232"/>
        <v>122.692307692308</v>
      </c>
      <c r="Q439" s="18" t="str">
        <f t="shared" si="233"/>
        <v>1+1044.48867091301i</v>
      </c>
      <c r="R439" s="18">
        <f t="shared" si="241"/>
        <v>1044.4891496160344</v>
      </c>
      <c r="S439" s="18">
        <f t="shared" si="242"/>
        <v>1.5698389208197951</v>
      </c>
      <c r="T439" s="18" t="str">
        <f t="shared" si="234"/>
        <v>1+0.208897734182603i</v>
      </c>
      <c r="U439" s="18">
        <f t="shared" si="243"/>
        <v>1.0215861507218202</v>
      </c>
      <c r="V439" s="18">
        <f t="shared" si="244"/>
        <v>0.20593625146248615</v>
      </c>
      <c r="W439" s="32" t="str">
        <f t="shared" si="235"/>
        <v>1-9.89537745069779i</v>
      </c>
      <c r="X439" s="18">
        <f t="shared" si="245"/>
        <v>9.9457777419253794</v>
      </c>
      <c r="Y439" s="18">
        <f t="shared" si="246"/>
        <v>-1.470080965346418</v>
      </c>
      <c r="Z439" s="32" t="str">
        <f t="shared" si="236"/>
        <v>0.14113698223825+1.05595649024169i</v>
      </c>
      <c r="AA439" s="18">
        <f t="shared" si="247"/>
        <v>1.0653467778328654</v>
      </c>
      <c r="AB439" s="18">
        <f t="shared" si="248"/>
        <v>1.437925859273621</v>
      </c>
      <c r="AC439" s="69" t="str">
        <f t="shared" si="249"/>
        <v>-0.477667929622695+1.01336860832586i</v>
      </c>
      <c r="AD439" s="67">
        <f t="shared" si="250"/>
        <v>0.98672304336367767</v>
      </c>
      <c r="AE439" s="64">
        <f t="shared" si="251"/>
        <v>115.23761553323079</v>
      </c>
      <c r="AF439" s="32" t="str">
        <f t="shared" si="237"/>
        <v>-0.0000198412698412698</v>
      </c>
      <c r="AG439" s="32" t="str">
        <f t="shared" si="238"/>
        <v>0.0352578614766736i</v>
      </c>
      <c r="AH439" s="32">
        <f t="shared" si="252"/>
        <v>3.5257861476673598E-2</v>
      </c>
      <c r="AI439" s="32">
        <f t="shared" si="253"/>
        <v>1.5707963267948966</v>
      </c>
      <c r="AJ439" s="32" t="str">
        <f t="shared" si="239"/>
        <v>1+12.2380556705628i</v>
      </c>
      <c r="AK439" s="32">
        <f t="shared" si="254"/>
        <v>12.278843862342834</v>
      </c>
      <c r="AL439" s="32">
        <f t="shared" si="255"/>
        <v>1.4892651370371808</v>
      </c>
      <c r="AM439" s="32" t="str">
        <f t="shared" si="240"/>
        <v>1+264.647953875921i</v>
      </c>
      <c r="AN439" s="32">
        <f t="shared" si="256"/>
        <v>264.64984317152278</v>
      </c>
      <c r="AO439" s="32">
        <f t="shared" si="257"/>
        <v>1.5670177400871181</v>
      </c>
      <c r="AP439" s="61" t="str">
        <f t="shared" si="258"/>
        <v>-0.000942117181732766+0.0120924299172668i</v>
      </c>
      <c r="AQ439" s="52">
        <f t="shared" si="259"/>
        <v>-38.323446790854327</v>
      </c>
      <c r="AR439" s="64">
        <f t="shared" si="260"/>
        <v>94.454896000917429</v>
      </c>
      <c r="AS439" s="61" t="str">
        <f t="shared" si="261"/>
        <v>-0.0118040697128784-0.00673087794002078i</v>
      </c>
      <c r="AT439" s="67">
        <f t="shared" si="262"/>
        <v>-37.336723747490645</v>
      </c>
      <c r="AU439" s="64">
        <f t="shared" si="263"/>
        <v>-150.3074884658518</v>
      </c>
    </row>
    <row r="440" spans="14:47" x14ac:dyDescent="0.25">
      <c r="N440" s="11">
        <v>22</v>
      </c>
      <c r="O440" s="53">
        <f t="shared" si="264"/>
        <v>165958.69074375604</v>
      </c>
      <c r="P440" s="51" t="str">
        <f t="shared" si="232"/>
        <v>122.692307692308</v>
      </c>
      <c r="Q440" s="18" t="str">
        <f t="shared" si="233"/>
        <v>1+1068.81793746193i</v>
      </c>
      <c r="R440" s="18">
        <f t="shared" si="241"/>
        <v>1068.8184052683475</v>
      </c>
      <c r="S440" s="18">
        <f t="shared" si="242"/>
        <v>1.5698607140275957</v>
      </c>
      <c r="T440" s="18" t="str">
        <f t="shared" si="234"/>
        <v>1+0.213763587492386i</v>
      </c>
      <c r="U440" s="18">
        <f t="shared" si="243"/>
        <v>1.0225922312132119</v>
      </c>
      <c r="V440" s="18">
        <f t="shared" si="244"/>
        <v>0.21059407570386784</v>
      </c>
      <c r="W440" s="32" t="str">
        <f t="shared" si="235"/>
        <v>1-10.1258704012721i</v>
      </c>
      <c r="X440" s="18">
        <f t="shared" si="245"/>
        <v>10.175129059788794</v>
      </c>
      <c r="Y440" s="18">
        <f t="shared" si="246"/>
        <v>-1.4723585752712158</v>
      </c>
      <c r="Z440" s="32" t="str">
        <f t="shared" si="236"/>
        <v>0.10066001523652+1.0805528766177i</v>
      </c>
      <c r="AA440" s="18">
        <f t="shared" si="247"/>
        <v>1.0852312923216887</v>
      </c>
      <c r="AB440" s="18">
        <f t="shared" si="248"/>
        <v>1.4779083739903527</v>
      </c>
      <c r="AC440" s="69" t="str">
        <f t="shared" si="249"/>
        <v>-0.431490628715838+1.01250114462263i</v>
      </c>
      <c r="AD440" s="67">
        <f t="shared" si="250"/>
        <v>0.83267037379136155</v>
      </c>
      <c r="AE440" s="64">
        <f t="shared" si="251"/>
        <v>113.08191376149021</v>
      </c>
      <c r="AF440" s="32" t="str">
        <f t="shared" si="237"/>
        <v>-0.0000198412698412698</v>
      </c>
      <c r="AG440" s="32" t="str">
        <f t="shared" si="238"/>
        <v>0.0360791225718855i</v>
      </c>
      <c r="AH440" s="32">
        <f t="shared" si="252"/>
        <v>3.6079122571885502E-2</v>
      </c>
      <c r="AI440" s="32">
        <f t="shared" si="253"/>
        <v>1.5707963267948966</v>
      </c>
      <c r="AJ440" s="32" t="str">
        <f t="shared" si="239"/>
        <v>1+12.5231166068287i</v>
      </c>
      <c r="AK440" s="32">
        <f t="shared" si="254"/>
        <v>12.562979326108467</v>
      </c>
      <c r="AL440" s="32">
        <f t="shared" si="255"/>
        <v>1.4911130768933889</v>
      </c>
      <c r="AM440" s="32" t="str">
        <f t="shared" si="240"/>
        <v>1+270.812396622671i</v>
      </c>
      <c r="AN440" s="32">
        <f t="shared" si="256"/>
        <v>270.81424291295104</v>
      </c>
      <c r="AO440" s="32">
        <f t="shared" si="257"/>
        <v>1.5671037504304952</v>
      </c>
      <c r="AP440" s="61" t="str">
        <f t="shared" si="258"/>
        <v>-0.000899983584141189+0.0118205370727575i</v>
      </c>
      <c r="AQ440" s="52">
        <f t="shared" si="259"/>
        <v>-38.522152945116723</v>
      </c>
      <c r="AR440" s="64">
        <f t="shared" si="260"/>
        <v>94.353944876032656</v>
      </c>
      <c r="AS440" s="61" t="str">
        <f t="shared" si="261"/>
        <v>-0.0115799728336662-0.00601168538236754i</v>
      </c>
      <c r="AT440" s="67">
        <f t="shared" si="262"/>
        <v>-37.689482571325357</v>
      </c>
      <c r="AU440" s="64">
        <f t="shared" si="263"/>
        <v>-152.56414136247713</v>
      </c>
    </row>
    <row r="441" spans="14:47" x14ac:dyDescent="0.25">
      <c r="N441" s="11">
        <v>23</v>
      </c>
      <c r="O441" s="53">
        <f t="shared" si="264"/>
        <v>169824.36524617471</v>
      </c>
      <c r="P441" s="51" t="str">
        <f t="shared" si="232"/>
        <v>122.692307692308</v>
      </c>
      <c r="Q441" s="18" t="str">
        <f t="shared" si="233"/>
        <v>1+1093.71390542876i</v>
      </c>
      <c r="R441" s="18">
        <f t="shared" si="241"/>
        <v>1093.7143625866083</v>
      </c>
      <c r="S441" s="18">
        <f t="shared" si="242"/>
        <v>1.5698820111622813</v>
      </c>
      <c r="T441" s="18" t="str">
        <f t="shared" si="234"/>
        <v>1+0.218742781085752i</v>
      </c>
      <c r="U441" s="18">
        <f t="shared" si="243"/>
        <v>1.0236446669997989</v>
      </c>
      <c r="V441" s="18">
        <f t="shared" si="244"/>
        <v>0.21535081043461596</v>
      </c>
      <c r="W441" s="32" t="str">
        <f t="shared" si="235"/>
        <v>1-10.3617322223648i</v>
      </c>
      <c r="X441" s="18">
        <f t="shared" si="245"/>
        <v>10.409874862263857</v>
      </c>
      <c r="Y441" s="18">
        <f t="shared" si="246"/>
        <v>-1.4745853309625474</v>
      </c>
      <c r="Z441" s="32" t="str">
        <f t="shared" si="236"/>
        <v>0.058275427550506+1.1057221864317i</v>
      </c>
      <c r="AA441" s="18">
        <f t="shared" si="247"/>
        <v>1.1072567809787814</v>
      </c>
      <c r="AB441" s="18">
        <f t="shared" si="248"/>
        <v>1.5181415446142177</v>
      </c>
      <c r="AC441" s="69" t="str">
        <f t="shared" si="249"/>
        <v>-0.385491746202475+1.00842243529769i</v>
      </c>
      <c r="AD441" s="67">
        <f t="shared" si="250"/>
        <v>0.6651961642187243</v>
      </c>
      <c r="AE441" s="64">
        <f t="shared" si="251"/>
        <v>110.92045977359494</v>
      </c>
      <c r="AF441" s="32" t="str">
        <f t="shared" si="237"/>
        <v>-0.0000198412698412698</v>
      </c>
      <c r="AG441" s="32" t="str">
        <f t="shared" si="238"/>
        <v>0.0369195132954489i</v>
      </c>
      <c r="AH441" s="32">
        <f t="shared" si="252"/>
        <v>3.6919513295448902E-2</v>
      </c>
      <c r="AI441" s="32">
        <f t="shared" si="253"/>
        <v>1.5707963267948966</v>
      </c>
      <c r="AJ441" s="32" t="str">
        <f t="shared" si="239"/>
        <v>1+12.8148174652825i</v>
      </c>
      <c r="AK441" s="32">
        <f t="shared" si="254"/>
        <v>12.853775580291941</v>
      </c>
      <c r="AL441" s="32">
        <f t="shared" si="255"/>
        <v>1.4929194796412366</v>
      </c>
      <c r="AM441" s="32" t="str">
        <f t="shared" si="240"/>
        <v>1+277.120427686734i</v>
      </c>
      <c r="AN441" s="32">
        <f t="shared" si="256"/>
        <v>277.12223195059318</v>
      </c>
      <c r="AO441" s="32">
        <f t="shared" si="257"/>
        <v>1.5671878029922222</v>
      </c>
      <c r="AP441" s="61" t="str">
        <f t="shared" si="258"/>
        <v>-0.000859722814691232+0.0115546105348811i</v>
      </c>
      <c r="AQ441" s="52">
        <f t="shared" si="259"/>
        <v>-38.720916970544373</v>
      </c>
      <c r="AR441" s="64">
        <f t="shared" si="260"/>
        <v>94.255261479524378</v>
      </c>
      <c r="AS441" s="61" t="str">
        <f t="shared" si="261"/>
        <v>-0.0113205124454157-0.00532117076625275i</v>
      </c>
      <c r="AT441" s="67">
        <f t="shared" si="262"/>
        <v>-38.05572080632566</v>
      </c>
      <c r="AU441" s="64">
        <f t="shared" si="263"/>
        <v>-154.82427874688059</v>
      </c>
    </row>
    <row r="442" spans="14:47" x14ac:dyDescent="0.25">
      <c r="N442" s="11">
        <v>24</v>
      </c>
      <c r="O442" s="53">
        <f t="shared" si="264"/>
        <v>173780.0828749378</v>
      </c>
      <c r="P442" s="51" t="str">
        <f t="shared" si="232"/>
        <v>122.692307692308</v>
      </c>
      <c r="Q442" s="18" t="str">
        <f t="shared" si="233"/>
        <v>1+1119.18977498527i</v>
      </c>
      <c r="R442" s="18">
        <f t="shared" si="241"/>
        <v>1119.1902217369395</v>
      </c>
      <c r="S442" s="18">
        <f t="shared" si="242"/>
        <v>1.5699028235157972</v>
      </c>
      <c r="T442" s="18" t="str">
        <f t="shared" si="234"/>
        <v>1+0.223837954997054i</v>
      </c>
      <c r="U442" s="18">
        <f t="shared" si="243"/>
        <v>1.0247455440728996</v>
      </c>
      <c r="V442" s="18">
        <f t="shared" si="244"/>
        <v>0.22020811631424755</v>
      </c>
      <c r="W442" s="32" t="str">
        <f t="shared" si="235"/>
        <v>1-10.6030879710356i</v>
      </c>
      <c r="X442" s="18">
        <f t="shared" si="245"/>
        <v>10.65013964798208</v>
      </c>
      <c r="Y442" s="18">
        <f t="shared" si="246"/>
        <v>-1.4767623246973109</v>
      </c>
      <c r="Z442" s="32" t="str">
        <f t="shared" si="236"/>
        <v>0.013893315787095+1.13147776478492i</v>
      </c>
      <c r="AA442" s="18">
        <f t="shared" si="247"/>
        <v>1.1315630589703072</v>
      </c>
      <c r="AB442" s="18">
        <f t="shared" si="248"/>
        <v>1.5585180319462255</v>
      </c>
      <c r="AC442" s="69" t="str">
        <f t="shared" si="249"/>
        <v>-0.340028907582857+1.00115116857864i</v>
      </c>
      <c r="AD442" s="67">
        <f t="shared" si="250"/>
        <v>0.48412015808015196</v>
      </c>
      <c r="AE442" s="64">
        <f t="shared" si="251"/>
        <v>108.75943557156801</v>
      </c>
      <c r="AF442" s="32" t="str">
        <f t="shared" si="237"/>
        <v>-0.0000198412698412698</v>
      </c>
      <c r="AG442" s="32" t="str">
        <f t="shared" si="238"/>
        <v>0.037779479233649i</v>
      </c>
      <c r="AH442" s="32">
        <f t="shared" si="252"/>
        <v>3.7779479233649001E-2</v>
      </c>
      <c r="AI442" s="32">
        <f t="shared" si="253"/>
        <v>1.5707963267948966</v>
      </c>
      <c r="AJ442" s="32" t="str">
        <f t="shared" si="239"/>
        <v>1+13.1133129095806i</v>
      </c>
      <c r="AK442" s="32">
        <f t="shared" si="254"/>
        <v>13.151386826664829</v>
      </c>
      <c r="AL442" s="32">
        <f t="shared" si="255"/>
        <v>1.4946852558774002</v>
      </c>
      <c r="AM442" s="32" t="str">
        <f t="shared" si="240"/>
        <v>1+283.575391669682i</v>
      </c>
      <c r="AN442" s="32">
        <f t="shared" si="256"/>
        <v>283.57715486373996</v>
      </c>
      <c r="AO442" s="32">
        <f t="shared" si="257"/>
        <v>1.5672699423333272</v>
      </c>
      <c r="AP442" s="61" t="str">
        <f t="shared" si="258"/>
        <v>-0.000821252631280504+0.0112945291622024i</v>
      </c>
      <c r="AQ442" s="52">
        <f t="shared" si="259"/>
        <v>-38.919736294124021</v>
      </c>
      <c r="AR442" s="64">
        <f t="shared" si="260"/>
        <v>94.158796191204985</v>
      </c>
      <c r="AS442" s="61" t="str">
        <f t="shared" si="261"/>
        <v>-0.0110282814342206-0.00466266444419116i</v>
      </c>
      <c r="AT442" s="67">
        <f t="shared" si="262"/>
        <v>-38.435616136043876</v>
      </c>
      <c r="AU442" s="64">
        <f t="shared" si="263"/>
        <v>-157.08176823722701</v>
      </c>
    </row>
    <row r="443" spans="14:47" x14ac:dyDescent="0.25">
      <c r="N443" s="11">
        <v>25</v>
      </c>
      <c r="O443" s="53">
        <f t="shared" si="264"/>
        <v>177827.94100389251</v>
      </c>
      <c r="P443" s="51" t="str">
        <f t="shared" si="232"/>
        <v>122.692307692308</v>
      </c>
      <c r="Q443" s="18" t="str">
        <f t="shared" si="233"/>
        <v>1+1145.2590537747i</v>
      </c>
      <c r="R443" s="18">
        <f t="shared" si="241"/>
        <v>1145.2594903570637</v>
      </c>
      <c r="S443" s="18">
        <f t="shared" si="242"/>
        <v>1.5699231621230565</v>
      </c>
      <c r="T443" s="18" t="str">
        <f t="shared" si="234"/>
        <v>1+0.229051810754941i</v>
      </c>
      <c r="U443" s="18">
        <f t="shared" si="243"/>
        <v>1.0258970377236292</v>
      </c>
      <c r="V443" s="18">
        <f t="shared" si="244"/>
        <v>0.2251676515284898</v>
      </c>
      <c r="W443" s="32" t="str">
        <f t="shared" si="235"/>
        <v>1-10.8500656172971i</v>
      </c>
      <c r="X443" s="18">
        <f t="shared" si="245"/>
        <v>10.896050839623166</v>
      </c>
      <c r="Y443" s="18">
        <f t="shared" si="246"/>
        <v>-1.4788906281614971</v>
      </c>
      <c r="Z443" s="32" t="str">
        <f t="shared" si="236"/>
        <v>-0.0325804604631501+1.1578332676259i</v>
      </c>
      <c r="AA443" s="18">
        <f t="shared" si="247"/>
        <v>1.158291570385134</v>
      </c>
      <c r="AB443" s="18">
        <f t="shared" si="248"/>
        <v>1.5989280675653386</v>
      </c>
      <c r="AC443" s="69" t="str">
        <f t="shared" si="249"/>
        <v>-0.295455621646916+0.990760049050124i</v>
      </c>
      <c r="AD443" s="67">
        <f t="shared" si="250"/>
        <v>0.2893687357775177</v>
      </c>
      <c r="AE443" s="64">
        <f t="shared" si="251"/>
        <v>106.6051633943639</v>
      </c>
      <c r="AF443" s="32" t="str">
        <f t="shared" si="237"/>
        <v>-0.0000198412698412698</v>
      </c>
      <c r="AG443" s="32" t="str">
        <f t="shared" si="238"/>
        <v>0.0386594763518093i</v>
      </c>
      <c r="AH443" s="32">
        <f t="shared" si="252"/>
        <v>3.8659476351809302E-2</v>
      </c>
      <c r="AI443" s="32">
        <f t="shared" si="253"/>
        <v>1.5707963267948966</v>
      </c>
      <c r="AJ443" s="32" t="str">
        <f t="shared" si="239"/>
        <v>1+13.4187612059587i</v>
      </c>
      <c r="AK443" s="32">
        <f t="shared" si="254"/>
        <v>13.455970879224665</v>
      </c>
      <c r="AL443" s="32">
        <f t="shared" si="255"/>
        <v>1.4964112977701589</v>
      </c>
      <c r="AM443" s="32" t="str">
        <f t="shared" si="240"/>
        <v>1+290.180711078856i</v>
      </c>
      <c r="AN443" s="32">
        <f t="shared" si="256"/>
        <v>290.1824341379583</v>
      </c>
      <c r="AO443" s="32">
        <f t="shared" si="257"/>
        <v>1.5673502120007397</v>
      </c>
      <c r="AP443" s="61" t="str">
        <f t="shared" si="258"/>
        <v>-0.000784494315367484+0.0110401736130807i</v>
      </c>
      <c r="AQ443" s="52">
        <f t="shared" si="259"/>
        <v>-39.118608455889799</v>
      </c>
      <c r="AR443" s="64">
        <f t="shared" si="260"/>
        <v>94.064500388652831</v>
      </c>
      <c r="AS443" s="61" t="str">
        <f t="shared" si="261"/>
        <v>-0.0107063796947923-0.00403912698431567i</v>
      </c>
      <c r="AT443" s="67">
        <f t="shared" si="262"/>
        <v>-38.829239720112312</v>
      </c>
      <c r="AU443" s="64">
        <f t="shared" si="263"/>
        <v>-159.33033621698317</v>
      </c>
    </row>
    <row r="444" spans="14:47" x14ac:dyDescent="0.25">
      <c r="N444" s="11">
        <v>26</v>
      </c>
      <c r="O444" s="53">
        <f t="shared" si="264"/>
        <v>181970.08586099857</v>
      </c>
      <c r="P444" s="51" t="str">
        <f t="shared" si="232"/>
        <v>122.692307692308</v>
      </c>
      <c r="Q444" s="18" t="str">
        <f t="shared" si="233"/>
        <v>1+1171.93556407373i</v>
      </c>
      <c r="R444" s="18">
        <f t="shared" si="241"/>
        <v>1171.9359907182693</v>
      </c>
      <c r="S444" s="18">
        <f t="shared" si="242"/>
        <v>1.5699430377677908</v>
      </c>
      <c r="T444" s="18" t="str">
        <f t="shared" si="234"/>
        <v>1+0.234387112814746i</v>
      </c>
      <c r="U444" s="18">
        <f t="shared" si="243"/>
        <v>1.0271014159534746</v>
      </c>
      <c r="V444" s="18">
        <f t="shared" si="244"/>
        <v>0.23023106933092397</v>
      </c>
      <c r="W444" s="32" t="str">
        <f t="shared" si="235"/>
        <v>1-11.1027961119664i</v>
      </c>
      <c r="X444" s="18">
        <f t="shared" si="245"/>
        <v>11.147738851619023</v>
      </c>
      <c r="Y444" s="18">
        <f t="shared" si="246"/>
        <v>-1.4809712926430185</v>
      </c>
      <c r="Z444" s="32" t="str">
        <f t="shared" si="236"/>
        <v>-0.08124447831049+1.1848026689911i</v>
      </c>
      <c r="AA444" s="18">
        <f t="shared" si="247"/>
        <v>1.1875849568365111</v>
      </c>
      <c r="AB444" s="18">
        <f t="shared" si="248"/>
        <v>1.6392613104543252</v>
      </c>
      <c r="AC444" s="69" t="str">
        <f t="shared" si="249"/>
        <v>-0.25211111199842+0.97737435950109i</v>
      </c>
      <c r="AD444" s="67">
        <f t="shared" si="250"/>
        <v>8.0977394910026063E-2</v>
      </c>
      <c r="AE444" s="64">
        <f t="shared" si="251"/>
        <v>104.46399918880756</v>
      </c>
      <c r="AF444" s="32" t="str">
        <f t="shared" si="237"/>
        <v>-0.0000198412698412698</v>
      </c>
      <c r="AG444" s="32" t="str">
        <f t="shared" si="238"/>
        <v>0.03955997123605i</v>
      </c>
      <c r="AH444" s="32">
        <f t="shared" si="252"/>
        <v>3.9559971236049998E-2</v>
      </c>
      <c r="AI444" s="32">
        <f t="shared" si="253"/>
        <v>1.5707963267948966</v>
      </c>
      <c r="AJ444" s="32" t="str">
        <f t="shared" si="239"/>
        <v>1+13.7313243071463i</v>
      </c>
      <c r="AK444" s="32">
        <f t="shared" si="254"/>
        <v>13.767689247946686</v>
      </c>
      <c r="AL444" s="32">
        <f t="shared" si="255"/>
        <v>1.4980984793286716</v>
      </c>
      <c r="AM444" s="32" t="str">
        <f t="shared" si="240"/>
        <v>1+296.939888142038i</v>
      </c>
      <c r="AN444" s="32">
        <f t="shared" si="256"/>
        <v>296.94157197975164</v>
      </c>
      <c r="AO444" s="32">
        <f t="shared" si="257"/>
        <v>1.5674286545503602</v>
      </c>
      <c r="AP444" s="61" t="str">
        <f t="shared" si="258"/>
        <v>-0.000749372528742002+0.0107914263663384i</v>
      </c>
      <c r="AQ444" s="52">
        <f t="shared" si="259"/>
        <v>-39.317531104073559</v>
      </c>
      <c r="AR444" s="64">
        <f t="shared" si="260"/>
        <v>93.972326433105195</v>
      </c>
      <c r="AS444" s="61" t="str">
        <f t="shared" si="261"/>
        <v>-0.010358338291381-0.00345305599657357i</v>
      </c>
      <c r="AT444" s="67">
        <f t="shared" si="262"/>
        <v>-39.236553709163495</v>
      </c>
      <c r="AU444" s="64">
        <f t="shared" si="263"/>
        <v>-161.56367437808728</v>
      </c>
    </row>
    <row r="445" spans="14:47" x14ac:dyDescent="0.25">
      <c r="N445" s="11">
        <v>27</v>
      </c>
      <c r="O445" s="53">
        <f t="shared" si="264"/>
        <v>186208.71366628664</v>
      </c>
      <c r="P445" s="51" t="str">
        <f t="shared" si="232"/>
        <v>122.692307692308</v>
      </c>
      <c r="Q445" s="18" t="str">
        <f t="shared" si="233"/>
        <v>1+1199.23345012124i</v>
      </c>
      <c r="R445" s="18">
        <f t="shared" si="241"/>
        <v>1199.2338670541674</v>
      </c>
      <c r="S445" s="18">
        <f t="shared" si="242"/>
        <v>1.569962460988267</v>
      </c>
      <c r="T445" s="18" t="str">
        <f t="shared" si="234"/>
        <v>1+0.239846690024248i</v>
      </c>
      <c r="U445" s="18">
        <f t="shared" si="243"/>
        <v>1.0283610429783829</v>
      </c>
      <c r="V445" s="18">
        <f t="shared" si="244"/>
        <v>0.23540001541395267</v>
      </c>
      <c r="W445" s="32" t="str">
        <f t="shared" si="235"/>
        <v>1-11.3614134560973i</v>
      </c>
      <c r="X445" s="18">
        <f t="shared" si="245"/>
        <v>11.405337159434998</v>
      </c>
      <c r="Y445" s="18">
        <f t="shared" si="246"/>
        <v>-1.4830053492375752</v>
      </c>
      <c r="Z445" s="32" t="str">
        <f t="shared" si="236"/>
        <v>-0.13220196066132+1.21240026841413i</v>
      </c>
      <c r="AA445" s="18">
        <f t="shared" si="247"/>
        <v>1.2195867206776856</v>
      </c>
      <c r="AB445" s="18">
        <f t="shared" si="248"/>
        <v>1.6794087280663585</v>
      </c>
      <c r="AC445" s="69" t="str">
        <f t="shared" si="249"/>
        <v>-0.210310708118161+0.961168262818993i</v>
      </c>
      <c r="AD445" s="67">
        <f t="shared" si="250"/>
        <v>-0.14090984648295976</v>
      </c>
      <c r="AE445" s="64">
        <f t="shared" si="251"/>
        <v>102.34222466966031</v>
      </c>
      <c r="AF445" s="32" t="str">
        <f t="shared" si="237"/>
        <v>-0.0000198412698412698</v>
      </c>
      <c r="AG445" s="32" t="str">
        <f t="shared" si="238"/>
        <v>0.0404814413406781i</v>
      </c>
      <c r="AH445" s="32">
        <f t="shared" si="252"/>
        <v>4.0481441340678097E-2</v>
      </c>
      <c r="AI445" s="32">
        <f t="shared" si="253"/>
        <v>1.5707963267948966</v>
      </c>
      <c r="AJ445" s="32" t="str">
        <f t="shared" si="239"/>
        <v>1+14.0511679382371i</v>
      </c>
      <c r="AK445" s="32">
        <f t="shared" si="254"/>
        <v>14.086707224491542</v>
      </c>
      <c r="AL445" s="32">
        <f t="shared" si="255"/>
        <v>1.4997476566758086</v>
      </c>
      <c r="AM445" s="32" t="str">
        <f t="shared" si="240"/>
        <v>1+303.856506664378i</v>
      </c>
      <c r="AN445" s="32">
        <f t="shared" si="256"/>
        <v>303.85815217347584</v>
      </c>
      <c r="AO445" s="32">
        <f t="shared" si="257"/>
        <v>1.5675053115696029</v>
      </c>
      <c r="AP445" s="61" t="str">
        <f t="shared" si="258"/>
        <v>-0.000715815175428967+0.0105481717375865i</v>
      </c>
      <c r="AQ445" s="52">
        <f t="shared" si="259"/>
        <v>-39.516501990455197</v>
      </c>
      <c r="AR445" s="64">
        <f t="shared" si="260"/>
        <v>93.882227655118385</v>
      </c>
      <c r="AS445" s="61" t="str">
        <f t="shared" si="261"/>
        <v>-0.00998802430850623-0.00290641229615032i</v>
      </c>
      <c r="AT445" s="67">
        <f t="shared" si="262"/>
        <v>-39.657411836938152</v>
      </c>
      <c r="AU445" s="64">
        <f t="shared" si="263"/>
        <v>-163.7755476752213</v>
      </c>
    </row>
    <row r="446" spans="14:47" x14ac:dyDescent="0.25">
      <c r="N446" s="11">
        <v>28</v>
      </c>
      <c r="O446" s="53">
        <f t="shared" si="264"/>
        <v>190546.07179632492</v>
      </c>
      <c r="P446" s="51" t="str">
        <f t="shared" si="232"/>
        <v>122.692307692308</v>
      </c>
      <c r="Q446" s="18" t="str">
        <f t="shared" si="233"/>
        <v>1+1227.16718561775i</v>
      </c>
      <c r="R446" s="18">
        <f t="shared" si="241"/>
        <v>1227.1675930601284</v>
      </c>
      <c r="S446" s="18">
        <f t="shared" si="242"/>
        <v>1.5699814420828753</v>
      </c>
      <c r="T446" s="18" t="str">
        <f t="shared" si="234"/>
        <v>1+0.24543343712355i</v>
      </c>
      <c r="U446" s="18">
        <f t="shared" si="243"/>
        <v>1.0296783828255693</v>
      </c>
      <c r="V446" s="18">
        <f t="shared" si="244"/>
        <v>0.24067612510283104</v>
      </c>
      <c r="W446" s="32" t="str">
        <f t="shared" si="235"/>
        <v>1-11.6260547720287i</v>
      </c>
      <c r="X446" s="18">
        <f t="shared" si="245"/>
        <v>11.668982370464501</v>
      </c>
      <c r="Y446" s="18">
        <f t="shared" si="246"/>
        <v>-1.4849938090661896</v>
      </c>
      <c r="Z446" s="32" t="str">
        <f t="shared" si="236"/>
        <v>-0.18556099516769+1.24064069850749i</v>
      </c>
      <c r="AA446" s="18">
        <f t="shared" si="247"/>
        <v>1.2544410012913225</v>
      </c>
      <c r="AB446" s="18">
        <f t="shared" si="248"/>
        <v>1.7192644216750108</v>
      </c>
      <c r="AC446" s="69" t="str">
        <f t="shared" si="249"/>
        <v>-0.170337364777994+0.942359072588002i</v>
      </c>
      <c r="AD446" s="67">
        <f t="shared" si="250"/>
        <v>-0.37604408764563502</v>
      </c>
      <c r="AE446" s="64">
        <f t="shared" si="251"/>
        <v>100.24594256121622</v>
      </c>
      <c r="AF446" s="32" t="str">
        <f t="shared" si="237"/>
        <v>-0.0000198412698412698</v>
      </c>
      <c r="AG446" s="32" t="str">
        <f t="shared" si="238"/>
        <v>0.0414243752413404i</v>
      </c>
      <c r="AH446" s="32">
        <f t="shared" si="252"/>
        <v>4.1424375241340398E-2</v>
      </c>
      <c r="AI446" s="32">
        <f t="shared" si="253"/>
        <v>1.5707963267948966</v>
      </c>
      <c r="AJ446" s="32" t="str">
        <f t="shared" si="239"/>
        <v>1+14.3784616845582i</v>
      </c>
      <c r="AK446" s="32">
        <f t="shared" si="254"/>
        <v>14.413193969912022</v>
      </c>
      <c r="AL446" s="32">
        <f t="shared" si="255"/>
        <v>1.5013596683238284</v>
      </c>
      <c r="AM446" s="32" t="str">
        <f t="shared" si="240"/>
        <v>1+310.934233928571i</v>
      </c>
      <c r="AN446" s="32">
        <f t="shared" si="256"/>
        <v>310.93584198150478</v>
      </c>
      <c r="AO446" s="32">
        <f t="shared" si="257"/>
        <v>1.5675802236994287</v>
      </c>
      <c r="AP446" s="61" t="str">
        <f t="shared" si="258"/>
        <v>-0.000683753268605247+0.0103102958915437i</v>
      </c>
      <c r="AQ446" s="52">
        <f t="shared" si="259"/>
        <v>-39.715518965901474</v>
      </c>
      <c r="AR446" s="64">
        <f t="shared" si="260"/>
        <v>93.794158340034272</v>
      </c>
      <c r="AS446" s="61" t="str">
        <f t="shared" si="261"/>
        <v>-0.00959953214453045-0.00240056972832879i</v>
      </c>
      <c r="AT446" s="67">
        <f t="shared" si="262"/>
        <v>-40.091563053547112</v>
      </c>
      <c r="AU446" s="64">
        <f t="shared" si="263"/>
        <v>-165.9598990987495</v>
      </c>
    </row>
    <row r="447" spans="14:47" x14ac:dyDescent="0.25">
      <c r="N447" s="11">
        <v>29</v>
      </c>
      <c r="O447" s="53">
        <f t="shared" si="264"/>
        <v>194984.45997580473</v>
      </c>
      <c r="P447" s="51" t="str">
        <f t="shared" si="232"/>
        <v>122.692307692308</v>
      </c>
      <c r="Q447" s="18" t="str">
        <f t="shared" si="233"/>
        <v>1+1255.75158139953i</v>
      </c>
      <c r="R447" s="18">
        <f t="shared" si="241"/>
        <v>1255.7519795673909</v>
      </c>
      <c r="S447" s="18">
        <f t="shared" si="242"/>
        <v>1.5699999911155882</v>
      </c>
      <c r="T447" s="18" t="str">
        <f t="shared" si="234"/>
        <v>1+0.251150316279906i</v>
      </c>
      <c r="U447" s="18">
        <f t="shared" si="243"/>
        <v>1.0310560030219003</v>
      </c>
      <c r="V447" s="18">
        <f t="shared" si="244"/>
        <v>0.24606102036678898</v>
      </c>
      <c r="W447" s="32" t="str">
        <f t="shared" si="235"/>
        <v>1-11.8968603760891i</v>
      </c>
      <c r="X447" s="18">
        <f t="shared" si="245"/>
        <v>11.938814296577315</v>
      </c>
      <c r="Y447" s="18">
        <f t="shared" si="246"/>
        <v>-1.4869376635031677</v>
      </c>
      <c r="Z447" s="32" t="str">
        <f t="shared" si="236"/>
        <v>-0.2414347634957+1.26953893272101i</v>
      </c>
      <c r="AA447" s="18">
        <f t="shared" si="247"/>
        <v>1.2922924772351752</v>
      </c>
      <c r="AB447" s="18">
        <f t="shared" si="248"/>
        <v>1.7587273202342637</v>
      </c>
      <c r="AC447" s="69" t="str">
        <f t="shared" si="249"/>
        <v>-0.132434781386815+0.92119987656073i</v>
      </c>
      <c r="AD447" s="67">
        <f t="shared" si="250"/>
        <v>-0.62407800888950204</v>
      </c>
      <c r="AE447" s="64">
        <f t="shared" si="251"/>
        <v>98.180979361647857</v>
      </c>
      <c r="AF447" s="32" t="str">
        <f t="shared" si="237"/>
        <v>-0.0000198412698412698</v>
      </c>
      <c r="AG447" s="32" t="str">
        <f t="shared" si="238"/>
        <v>0.042389272894072i</v>
      </c>
      <c r="AH447" s="32">
        <f t="shared" si="252"/>
        <v>4.2389272894072003E-2</v>
      </c>
      <c r="AI447" s="32">
        <f t="shared" si="253"/>
        <v>1.5707963267948966</v>
      </c>
      <c r="AJ447" s="32" t="str">
        <f t="shared" si="239"/>
        <v>1+14.7133790815856i</v>
      </c>
      <c r="AK447" s="32">
        <f t="shared" si="254"/>
        <v>14.747322604406563</v>
      </c>
      <c r="AL447" s="32">
        <f t="shared" si="255"/>
        <v>1.5029353354522754</v>
      </c>
      <c r="AM447" s="32" t="str">
        <f t="shared" si="240"/>
        <v>1+318.176822639289i</v>
      </c>
      <c r="AN447" s="32">
        <f t="shared" si="256"/>
        <v>318.17839408865211</v>
      </c>
      <c r="AO447" s="32">
        <f t="shared" si="257"/>
        <v>1.5676534306558751</v>
      </c>
      <c r="AP447" s="61" t="str">
        <f t="shared" si="258"/>
        <v>-0.000653120802405604+0.0100776868506563i</v>
      </c>
      <c r="AQ447" s="52">
        <f t="shared" si="259"/>
        <v>-39.914579976089207</v>
      </c>
      <c r="AR447" s="64">
        <f t="shared" si="260"/>
        <v>93.708073713292151</v>
      </c>
      <c r="AS447" s="61" t="str">
        <f t="shared" si="261"/>
        <v>-0.00919706797215651-0.00193629105750673i</v>
      </c>
      <c r="AT447" s="67">
        <f t="shared" si="262"/>
        <v>-40.538657984978705</v>
      </c>
      <c r="AU447" s="64">
        <f t="shared" si="263"/>
        <v>-168.11094692506003</v>
      </c>
    </row>
    <row r="448" spans="14:47" x14ac:dyDescent="0.25">
      <c r="N448" s="11">
        <v>30</v>
      </c>
      <c r="O448" s="53">
        <f t="shared" si="264"/>
        <v>199526.23149688813</v>
      </c>
      <c r="P448" s="51" t="str">
        <f t="shared" si="232"/>
        <v>122.692307692308</v>
      </c>
      <c r="Q448" s="18" t="str">
        <f t="shared" si="233"/>
        <v>1+1285.00179329161i</v>
      </c>
      <c r="R448" s="18">
        <f t="shared" si="241"/>
        <v>1285.0021823960665</v>
      </c>
      <c r="S448" s="18">
        <f t="shared" si="242"/>
        <v>1.5700181179212975</v>
      </c>
      <c r="T448" s="18" t="str">
        <f t="shared" si="234"/>
        <v>1+0.257000358658323i</v>
      </c>
      <c r="U448" s="18">
        <f t="shared" si="243"/>
        <v>1.0324965783722999</v>
      </c>
      <c r="V448" s="18">
        <f t="shared" si="244"/>
        <v>0.25155630664153755</v>
      </c>
      <c r="W448" s="32" t="str">
        <f t="shared" si="235"/>
        <v>1-12.1739738529946i</v>
      </c>
      <c r="X448" s="18">
        <f t="shared" si="245"/>
        <v>12.214976028359455</v>
      </c>
      <c r="Y448" s="18">
        <f t="shared" si="246"/>
        <v>-1.4888378844132959</v>
      </c>
      <c r="Z448" s="32" t="str">
        <f t="shared" si="236"/>
        <v>-0.29994178139917+1.299110293281i</v>
      </c>
      <c r="AA448" s="18">
        <f t="shared" si="247"/>
        <v>1.3332864007172476</v>
      </c>
      <c r="AB448" s="18">
        <f t="shared" si="248"/>
        <v>1.7977026771244116</v>
      </c>
      <c r="AC448" s="69" t="str">
        <f t="shared" si="249"/>
        <v>-0.0968024517017796+0.897971009940427i</v>
      </c>
      <c r="AD448" s="67">
        <f t="shared" si="250"/>
        <v>-0.88457478908128329</v>
      </c>
      <c r="AE448" s="64">
        <f t="shared" si="251"/>
        <v>96.152799389829354</v>
      </c>
      <c r="AF448" s="32" t="str">
        <f t="shared" si="237"/>
        <v>-0.0000198412698412698</v>
      </c>
      <c r="AG448" s="32" t="str">
        <f t="shared" si="238"/>
        <v>0.0433766459003803i</v>
      </c>
      <c r="AH448" s="32">
        <f t="shared" si="252"/>
        <v>4.3376645900380303E-2</v>
      </c>
      <c r="AI448" s="32">
        <f t="shared" si="253"/>
        <v>1.5707963267948966</v>
      </c>
      <c r="AJ448" s="32" t="str">
        <f t="shared" si="239"/>
        <v>1+15.0560977069568i</v>
      </c>
      <c r="AK448" s="32">
        <f t="shared" si="254"/>
        <v>15.089270299170529</v>
      </c>
      <c r="AL448" s="32">
        <f t="shared" si="255"/>
        <v>1.5044754621875196</v>
      </c>
      <c r="AM448" s="32" t="str">
        <f t="shared" si="240"/>
        <v>1+325.588112912942i</v>
      </c>
      <c r="AN448" s="32">
        <f t="shared" si="256"/>
        <v>325.58964859192105</v>
      </c>
      <c r="AO448" s="32">
        <f t="shared" si="257"/>
        <v>1.5677249712510992</v>
      </c>
      <c r="AP448" s="61" t="str">
        <f t="shared" si="258"/>
        <v>-0.000623854628490515+0.00985023450031194i</v>
      </c>
      <c r="AQ448" s="52">
        <f t="shared" si="259"/>
        <v>-40.113683057404984</v>
      </c>
      <c r="AR448" s="64">
        <f t="shared" si="260"/>
        <v>93.62392992561756</v>
      </c>
      <c r="AS448" s="61" t="str">
        <f t="shared" si="261"/>
        <v>-0.00878483436485177-0.00151373022026929i</v>
      </c>
      <c r="AT448" s="67">
        <f t="shared" si="262"/>
        <v>-40.998257846486261</v>
      </c>
      <c r="AU448" s="64">
        <f t="shared" si="263"/>
        <v>-170.22327068455309</v>
      </c>
    </row>
    <row r="449" spans="14:47" x14ac:dyDescent="0.25">
      <c r="N449" s="11">
        <v>31</v>
      </c>
      <c r="O449" s="53">
        <f t="shared" si="264"/>
        <v>204173.79446695308</v>
      </c>
      <c r="P449" s="51" t="str">
        <f t="shared" si="232"/>
        <v>122.692307692308</v>
      </c>
      <c r="Q449" s="18" t="str">
        <f t="shared" si="233"/>
        <v>1+1314.93333014351i</v>
      </c>
      <c r="R449" s="18">
        <f t="shared" si="241"/>
        <v>1314.9337103908701</v>
      </c>
      <c r="S449" s="18">
        <f t="shared" si="242"/>
        <v>1.5700358321110279</v>
      </c>
      <c r="T449" s="18" t="str">
        <f t="shared" si="234"/>
        <v>1+0.262986666028702i</v>
      </c>
      <c r="U449" s="18">
        <f t="shared" si="243"/>
        <v>1.0340028948261664</v>
      </c>
      <c r="V449" s="18">
        <f t="shared" si="244"/>
        <v>0.25716356945773755</v>
      </c>
      <c r="W449" s="32" t="str">
        <f t="shared" si="235"/>
        <v>1-12.4575421319784i</v>
      </c>
      <c r="X449" s="18">
        <f t="shared" si="245"/>
        <v>12.497614011082952</v>
      </c>
      <c r="Y449" s="18">
        <f t="shared" si="246"/>
        <v>-1.490695424397166</v>
      </c>
      <c r="Z449" s="32" t="str">
        <f t="shared" si="236"/>
        <v>-0.3612061501072+1.32937045931424i</v>
      </c>
      <c r="AA449" s="18">
        <f t="shared" si="247"/>
        <v>1.3775687645168999</v>
      </c>
      <c r="AB449" s="18">
        <f t="shared" si="248"/>
        <v>1.8361033188374143</v>
      </c>
      <c r="AC449" s="69" t="str">
        <f t="shared" si="249"/>
        <v>-0.0635928085090911+0.872970933644439i</v>
      </c>
      <c r="AD449" s="67">
        <f t="shared" si="250"/>
        <v>-1.1570189830334021</v>
      </c>
      <c r="AE449" s="64">
        <f t="shared" si="251"/>
        <v>94.166433033407671</v>
      </c>
      <c r="AF449" s="32" t="str">
        <f t="shared" si="237"/>
        <v>-0.0000198412698412698</v>
      </c>
      <c r="AG449" s="32" t="str">
        <f t="shared" si="238"/>
        <v>0.0443870177785029i</v>
      </c>
      <c r="AH449" s="32">
        <f t="shared" si="252"/>
        <v>4.4387017778502902E-2</v>
      </c>
      <c r="AI449" s="32">
        <f t="shared" si="253"/>
        <v>1.5707963267948966</v>
      </c>
      <c r="AJ449" s="32" t="str">
        <f t="shared" si="239"/>
        <v>1+15.4067992746232i</v>
      </c>
      <c r="AK449" s="32">
        <f t="shared" si="254"/>
        <v>15.439218370388121</v>
      </c>
      <c r="AL449" s="32">
        <f t="shared" si="255"/>
        <v>1.5059808358833719</v>
      </c>
      <c r="AM449" s="32" t="str">
        <f t="shared" si="240"/>
        <v>1+333.172034313727i</v>
      </c>
      <c r="AN449" s="32">
        <f t="shared" si="256"/>
        <v>333.17353503654408</v>
      </c>
      <c r="AO449" s="32">
        <f t="shared" si="257"/>
        <v>1.5677948834139401</v>
      </c>
      <c r="AP449" s="61" t="str">
        <f t="shared" si="258"/>
        <v>-0.000595894337247344+0.00962783059091964i</v>
      </c>
      <c r="AQ449" s="52">
        <f t="shared" si="259"/>
        <v>-40.312826333015366</v>
      </c>
      <c r="AR449" s="64">
        <f t="shared" si="260"/>
        <v>93.541684038122625</v>
      </c>
      <c r="AS449" s="61" t="str">
        <f t="shared" si="261"/>
        <v>-0.00836692166544539-0.00113245922306657i</v>
      </c>
      <c r="AT449" s="67">
        <f t="shared" si="262"/>
        <v>-41.469845316048762</v>
      </c>
      <c r="AU449" s="64">
        <f t="shared" si="263"/>
        <v>-172.2918829284697</v>
      </c>
    </row>
    <row r="450" spans="14:47" x14ac:dyDescent="0.25">
      <c r="N450" s="11">
        <v>32</v>
      </c>
      <c r="O450" s="53">
        <f t="shared" si="264"/>
        <v>208929.61308540447</v>
      </c>
      <c r="P450" s="51" t="str">
        <f t="shared" si="232"/>
        <v>122.692307692308</v>
      </c>
      <c r="Q450" s="18" t="str">
        <f t="shared" si="233"/>
        <v>1+1345.56206205225i</v>
      </c>
      <c r="R450" s="18">
        <f t="shared" si="241"/>
        <v>1345.562433644126</v>
      </c>
      <c r="S450" s="18">
        <f t="shared" si="242"/>
        <v>1.5700531430770326</v>
      </c>
      <c r="T450" s="18" t="str">
        <f t="shared" si="234"/>
        <v>1+0.269112412410451i</v>
      </c>
      <c r="U450" s="18">
        <f t="shared" si="243"/>
        <v>1.0355778534293656</v>
      </c>
      <c r="V450" s="18">
        <f t="shared" si="244"/>
        <v>0.26288437087059391</v>
      </c>
      <c r="W450" s="32" t="str">
        <f t="shared" si="235"/>
        <v>1-12.7477155646958i</v>
      </c>
      <c r="X450" s="18">
        <f t="shared" si="245"/>
        <v>12.786878122449888</v>
      </c>
      <c r="Y450" s="18">
        <f t="shared" si="246"/>
        <v>-1.492511217043633</v>
      </c>
      <c r="Z450" s="32" t="str">
        <f t="shared" si="236"/>
        <v>-0.42535781955973+1.36033547516131i</v>
      </c>
      <c r="AA450" s="18">
        <f t="shared" si="247"/>
        <v>1.425286595616108</v>
      </c>
      <c r="AB450" s="18">
        <f t="shared" si="248"/>
        <v>1.8738506121530714</v>
      </c>
      <c r="AC450" s="69" t="str">
        <f t="shared" si="249"/>
        <v>-0.0329104589765554+0.846507073361576i</v>
      </c>
      <c r="AD450" s="67">
        <f t="shared" si="250"/>
        <v>-1.4408287889368858</v>
      </c>
      <c r="AE450" s="64">
        <f t="shared" si="251"/>
        <v>92.226421114362495</v>
      </c>
      <c r="AF450" s="32" t="str">
        <f t="shared" si="237"/>
        <v>-0.0000198412698412698</v>
      </c>
      <c r="AG450" s="32" t="str">
        <f t="shared" si="238"/>
        <v>0.0454209242409834i</v>
      </c>
      <c r="AH450" s="32">
        <f t="shared" si="252"/>
        <v>4.5420924240983401E-2</v>
      </c>
      <c r="AI450" s="32">
        <f t="shared" si="253"/>
        <v>1.5707963267948966</v>
      </c>
      <c r="AJ450" s="32" t="str">
        <f t="shared" si="239"/>
        <v>1+15.7656697311982i</v>
      </c>
      <c r="AK450" s="32">
        <f t="shared" si="254"/>
        <v>15.797352375420989</v>
      </c>
      <c r="AL450" s="32">
        <f t="shared" si="255"/>
        <v>1.5074522274023028</v>
      </c>
      <c r="AM450" s="32" t="str">
        <f t="shared" si="240"/>
        <v>1+340.932607937162i</v>
      </c>
      <c r="AN450" s="32">
        <f t="shared" si="256"/>
        <v>340.93407449950587</v>
      </c>
      <c r="AO450" s="32">
        <f t="shared" si="257"/>
        <v>1.5678632042100171</v>
      </c>
      <c r="AP450" s="61" t="str">
        <f t="shared" si="258"/>
        <v>-0.000569182143494416+0.00941036873711383i</v>
      </c>
      <c r="AQ450" s="52">
        <f t="shared" si="259"/>
        <v>-40.512008009099638</v>
      </c>
      <c r="AR450" s="64">
        <f t="shared" si="260"/>
        <v>93.461294007344719</v>
      </c>
      <c r="AS450" s="61" t="str">
        <f t="shared" si="261"/>
        <v>-0.00794721165332384-0.000791516264776171i</v>
      </c>
      <c r="AT450" s="67">
        <f t="shared" si="262"/>
        <v>-41.952836798036515</v>
      </c>
      <c r="AU450" s="64">
        <f t="shared" si="263"/>
        <v>-174.31228487829279</v>
      </c>
    </row>
    <row r="451" spans="14:47" x14ac:dyDescent="0.25">
      <c r="N451" s="11">
        <v>33</v>
      </c>
      <c r="O451" s="53">
        <f t="shared" si="264"/>
        <v>213796.20895022334</v>
      </c>
      <c r="P451" s="51" t="str">
        <f t="shared" si="232"/>
        <v>122.692307692308</v>
      </c>
      <c r="Q451" s="18" t="str">
        <f t="shared" si="233"/>
        <v>1+1376.90422877691i</v>
      </c>
      <c r="R451" s="18">
        <f t="shared" si="241"/>
        <v>1376.9045919103244</v>
      </c>
      <c r="S451" s="18">
        <f t="shared" si="242"/>
        <v>1.5700700599977737</v>
      </c>
      <c r="T451" s="18" t="str">
        <f t="shared" si="234"/>
        <v>1+0.275380845755382i</v>
      </c>
      <c r="U451" s="18">
        <f t="shared" si="243"/>
        <v>1.0372244743588293</v>
      </c>
      <c r="V451" s="18">
        <f t="shared" si="244"/>
        <v>0.26872024568614467</v>
      </c>
      <c r="W451" s="32" t="str">
        <f t="shared" si="235"/>
        <v>1-13.0446480049415i</v>
      </c>
      <c r="X451" s="18">
        <f t="shared" si="245"/>
        <v>13.082921752147884</v>
      </c>
      <c r="Y451" s="18">
        <f t="shared" si="246"/>
        <v>-1.4942861771884239</v>
      </c>
      <c r="Z451" s="32" t="str">
        <f t="shared" si="236"/>
        <v>-0.49253286404857+1.39202175888348i</v>
      </c>
      <c r="AA451" s="18">
        <f t="shared" si="247"/>
        <v>1.4765883649050415</v>
      </c>
      <c r="AB451" s="18">
        <f t="shared" si="248"/>
        <v>1.9108751347713919</v>
      </c>
      <c r="AC451" s="69" t="str">
        <f t="shared" si="249"/>
        <v>-0.00481335448108673+0.818887123729077i</v>
      </c>
      <c r="AD451" s="67">
        <f t="shared" si="250"/>
        <v>-1.7353691085376719</v>
      </c>
      <c r="AE451" s="64">
        <f t="shared" si="251"/>
        <v>90.336776233282464</v>
      </c>
      <c r="AF451" s="32" t="str">
        <f t="shared" si="237"/>
        <v>-0.0000198412698412698</v>
      </c>
      <c r="AG451" s="32" t="str">
        <f t="shared" si="238"/>
        <v>0.0464789134787132i</v>
      </c>
      <c r="AH451" s="32">
        <f t="shared" si="252"/>
        <v>4.6478913478713198E-2</v>
      </c>
      <c r="AI451" s="32">
        <f t="shared" si="253"/>
        <v>1.5707963267948966</v>
      </c>
      <c r="AJ451" s="32" t="str">
        <f t="shared" si="239"/>
        <v>1+16.1328993545479i</v>
      </c>
      <c r="AK451" s="32">
        <f t="shared" si="254"/>
        <v>16.163862211240605</v>
      </c>
      <c r="AL451" s="32">
        <f t="shared" si="255"/>
        <v>1.5088903913967875</v>
      </c>
      <c r="AM451" s="32" t="str">
        <f t="shared" si="240"/>
        <v>1+348.873948542099i</v>
      </c>
      <c r="AN451" s="32">
        <f t="shared" si="256"/>
        <v>348.87538172154706</v>
      </c>
      <c r="AO451" s="32">
        <f t="shared" si="257"/>
        <v>1.567929969861368</v>
      </c>
      <c r="AP451" s="61" t="str">
        <f t="shared" si="258"/>
        <v>-0.000543662776557173+0.00919774441431921i</v>
      </c>
      <c r="AQ451" s="52">
        <f t="shared" si="259"/>
        <v>-40.711226371241231</v>
      </c>
      <c r="AR451" s="64">
        <f t="shared" si="260"/>
        <v>93.382718670251933</v>
      </c>
      <c r="AS451" s="61" t="str">
        <f t="shared" si="261"/>
        <v>-0.0075292976265753-0.000489470451666021i</v>
      </c>
      <c r="AT451" s="67">
        <f t="shared" si="262"/>
        <v>-42.446595479778907</v>
      </c>
      <c r="AU451" s="64">
        <f t="shared" si="263"/>
        <v>-176.28050509646559</v>
      </c>
    </row>
    <row r="452" spans="14:47" x14ac:dyDescent="0.25">
      <c r="N452" s="11">
        <v>34</v>
      </c>
      <c r="O452" s="53">
        <f t="shared" si="264"/>
        <v>218776.16239495538</v>
      </c>
      <c r="P452" s="51" t="str">
        <f t="shared" si="232"/>
        <v>122.692307692308</v>
      </c>
      <c r="Q452" s="18" t="str">
        <f t="shared" si="233"/>
        <v>1+1408.97644834915i</v>
      </c>
      <c r="R452" s="18">
        <f t="shared" si="241"/>
        <v>1408.976803216641</v>
      </c>
      <c r="S452" s="18">
        <f t="shared" si="242"/>
        <v>1.5700865918427873</v>
      </c>
      <c r="T452" s="18" t="str">
        <f t="shared" si="234"/>
        <v>1+0.28179528966983i</v>
      </c>
      <c r="U452" s="18">
        <f t="shared" si="243"/>
        <v>1.0389459010362876</v>
      </c>
      <c r="V452" s="18">
        <f t="shared" si="244"/>
        <v>0.27467269748054024</v>
      </c>
      <c r="W452" s="32" t="str">
        <f t="shared" si="235"/>
        <v>1-13.3484968902258i</v>
      </c>
      <c r="X452" s="18">
        <f t="shared" si="245"/>
        <v>13.385901883263895</v>
      </c>
      <c r="Y452" s="18">
        <f t="shared" si="246"/>
        <v>-1.4960212011780456</v>
      </c>
      <c r="Z452" s="32" t="str">
        <f t="shared" si="236"/>
        <v>-0.56287377084943+1.4244461109678i</v>
      </c>
      <c r="AA452" s="18">
        <f t="shared" si="247"/>
        <v>1.5316244986815621</v>
      </c>
      <c r="AB452" s="18">
        <f t="shared" si="248"/>
        <v>1.9471170519000272</v>
      </c>
      <c r="AC452" s="69" t="str">
        <f t="shared" si="249"/>
        <v>0.0206843808445069+0.790411230449914i</v>
      </c>
      <c r="AD452" s="67">
        <f t="shared" si="250"/>
        <v>-2.0399648211934456</v>
      </c>
      <c r="AE452" s="64">
        <f t="shared" si="251"/>
        <v>88.500960949016644</v>
      </c>
      <c r="AF452" s="32" t="str">
        <f t="shared" si="237"/>
        <v>-0.0000198412698412698</v>
      </c>
      <c r="AG452" s="32" t="str">
        <f t="shared" si="238"/>
        <v>0.0475615464515907i</v>
      </c>
      <c r="AH452" s="32">
        <f t="shared" si="252"/>
        <v>4.7561546451590699E-2</v>
      </c>
      <c r="AI452" s="32">
        <f t="shared" si="253"/>
        <v>1.5707963267948966</v>
      </c>
      <c r="AJ452" s="32" t="str">
        <f t="shared" si="239"/>
        <v>1+16.5086828546796i</v>
      </c>
      <c r="AK452" s="32">
        <f t="shared" si="254"/>
        <v>16.538942215159715</v>
      </c>
      <c r="AL452" s="32">
        <f t="shared" si="255"/>
        <v>1.5102960665903706</v>
      </c>
      <c r="AM452" s="32" t="str">
        <f t="shared" si="240"/>
        <v>1+357.000266732446i</v>
      </c>
      <c r="AN452" s="32">
        <f t="shared" si="256"/>
        <v>357.00166728887638</v>
      </c>
      <c r="AO452" s="32">
        <f t="shared" si="257"/>
        <v>1.5679952157656423</v>
      </c>
      <c r="AP452" s="61" t="str">
        <f t="shared" si="258"/>
        <v>-0.00051928337458539+0.00898985495290252i</v>
      </c>
      <c r="AQ452" s="52">
        <f t="shared" si="259"/>
        <v>-40.910479780970086</v>
      </c>
      <c r="AR452" s="64">
        <f t="shared" si="260"/>
        <v>93.305917729238828</v>
      </c>
      <c r="AS452" s="61" t="str">
        <f t="shared" si="261"/>
        <v>-0.00711642336997608-0.000224497827475509i</v>
      </c>
      <c r="AT452" s="67">
        <f t="shared" si="262"/>
        <v>-42.950444602163529</v>
      </c>
      <c r="AU452" s="64">
        <f t="shared" si="263"/>
        <v>-178.19312132174454</v>
      </c>
    </row>
    <row r="453" spans="14:47" x14ac:dyDescent="0.25">
      <c r="N453" s="11">
        <v>35</v>
      </c>
      <c r="O453" s="53">
        <f t="shared" si="264"/>
        <v>223872.11385683404</v>
      </c>
      <c r="P453" s="51" t="str">
        <f t="shared" si="232"/>
        <v>122.692307692308</v>
      </c>
      <c r="Q453" s="18" t="str">
        <f t="shared" si="233"/>
        <v>1+1441.79572588431i</v>
      </c>
      <c r="R453" s="18">
        <f t="shared" si="241"/>
        <v>1441.7960726740328</v>
      </c>
      <c r="S453" s="18">
        <f t="shared" si="242"/>
        <v>1.5701027473774407</v>
      </c>
      <c r="T453" s="18" t="str">
        <f t="shared" si="234"/>
        <v>1+0.288359145176863i</v>
      </c>
      <c r="U453" s="18">
        <f t="shared" si="243"/>
        <v>1.0407454043170843</v>
      </c>
      <c r="V453" s="18">
        <f t="shared" si="244"/>
        <v>0.28074319440926715</v>
      </c>
      <c r="W453" s="32" t="str">
        <f t="shared" si="235"/>
        <v>1-13.6594233252495i</v>
      </c>
      <c r="X453" s="18">
        <f t="shared" si="245"/>
        <v>13.695979175596396</v>
      </c>
      <c r="Y453" s="18">
        <f t="shared" si="246"/>
        <v>-1.4977171671381513</v>
      </c>
      <c r="Z453" s="32" t="str">
        <f t="shared" si="236"/>
        <v>-0.63652974245641+1.45762572323492i</v>
      </c>
      <c r="AA453" s="18">
        <f t="shared" si="247"/>
        <v>1.5905479754058809</v>
      </c>
      <c r="AB453" s="18">
        <f t="shared" si="248"/>
        <v>1.9825262164758335</v>
      </c>
      <c r="AC453" s="69" t="str">
        <f t="shared" si="249"/>
        <v>0.0436083170519788+0.761365347492402i</v>
      </c>
      <c r="AD453" s="67">
        <f t="shared" si="250"/>
        <v>-2.3539137497282492</v>
      </c>
      <c r="AE453" s="64">
        <f t="shared" si="251"/>
        <v>86.721881780638711</v>
      </c>
      <c r="AF453" s="32" t="str">
        <f t="shared" si="237"/>
        <v>-0.0000198412698412698</v>
      </c>
      <c r="AG453" s="32" t="str">
        <f t="shared" si="238"/>
        <v>0.0486693971859483i</v>
      </c>
      <c r="AH453" s="32">
        <f t="shared" si="252"/>
        <v>4.8669397185948302E-2</v>
      </c>
      <c r="AI453" s="32">
        <f t="shared" si="253"/>
        <v>1.5707963267948966</v>
      </c>
      <c r="AJ453" s="32" t="str">
        <f t="shared" si="239"/>
        <v>1+16.8932194769791i</v>
      </c>
      <c r="AK453" s="32">
        <f t="shared" si="254"/>
        <v>16.922791267913993</v>
      </c>
      <c r="AL453" s="32">
        <f t="shared" si="255"/>
        <v>1.5116699760580554</v>
      </c>
      <c r="AM453" s="32" t="str">
        <f t="shared" si="240"/>
        <v>1+365.315871189673i</v>
      </c>
      <c r="AN453" s="32">
        <f t="shared" si="256"/>
        <v>365.3172398656676</v>
      </c>
      <c r="AO453" s="32">
        <f t="shared" si="257"/>
        <v>1.5680589765148589</v>
      </c>
      <c r="AP453" s="61" t="str">
        <f t="shared" si="258"/>
        <v>-0.000495993382980924+0.00878659953012028i</v>
      </c>
      <c r="AQ453" s="52">
        <f t="shared" si="259"/>
        <v>-41.109766672450078</v>
      </c>
      <c r="AR453" s="64">
        <f t="shared" si="260"/>
        <v>93.230851737136106</v>
      </c>
      <c r="AS453" s="61" t="str">
        <f t="shared" si="261"/>
        <v>-0.00671144184122732+0.0000055366437310498i</v>
      </c>
      <c r="AT453" s="67">
        <f t="shared" si="262"/>
        <v>-43.463680422178328</v>
      </c>
      <c r="AU453" s="64">
        <f t="shared" si="263"/>
        <v>179.95273351777482</v>
      </c>
    </row>
    <row r="454" spans="14:47" x14ac:dyDescent="0.25">
      <c r="N454" s="11">
        <v>36</v>
      </c>
      <c r="O454" s="53">
        <f t="shared" si="264"/>
        <v>229086.76527677779</v>
      </c>
      <c r="P454" s="51" t="str">
        <f t="shared" si="232"/>
        <v>122.692307692308</v>
      </c>
      <c r="Q454" s="18" t="str">
        <f t="shared" si="233"/>
        <v>1+1475.37946259776i</v>
      </c>
      <c r="R454" s="18">
        <f t="shared" si="241"/>
        <v>1475.3798014935867</v>
      </c>
      <c r="S454" s="18">
        <f t="shared" si="242"/>
        <v>1.5701185351675784</v>
      </c>
      <c r="T454" s="18" t="str">
        <f t="shared" si="234"/>
        <v>1+0.295075892519552i</v>
      </c>
      <c r="U454" s="18">
        <f t="shared" si="243"/>
        <v>1.0426263867494483</v>
      </c>
      <c r="V454" s="18">
        <f t="shared" si="244"/>
        <v>0.28693316480418862</v>
      </c>
      <c r="W454" s="32" t="str">
        <f t="shared" si="235"/>
        <v>1-13.9775921673241i</v>
      </c>
      <c r="X454" s="18">
        <f t="shared" si="245"/>
        <v>14.013318050912854</v>
      </c>
      <c r="Y454" s="18">
        <f t="shared" si="246"/>
        <v>-1.4993749352456212</v>
      </c>
      <c r="Z454" s="32" t="str">
        <f t="shared" si="236"/>
        <v>-0.71365701306049+1.49157818795446i</v>
      </c>
      <c r="AA454" s="18">
        <f t="shared" si="247"/>
        <v>1.6535149902773578</v>
      </c>
      <c r="AB454" s="18">
        <f t="shared" si="248"/>
        <v>2.017062022542615</v>
      </c>
      <c r="AC454" s="69" t="str">
        <f t="shared" si="249"/>
        <v>0.0640186704837782+0.732015943111183i</v>
      </c>
      <c r="AD454" s="67">
        <f t="shared" si="250"/>
        <v>-2.6764988804934511</v>
      </c>
      <c r="AE454" s="64">
        <f t="shared" si="251"/>
        <v>85.001897340157683</v>
      </c>
      <c r="AF454" s="32" t="str">
        <f t="shared" si="237"/>
        <v>-0.0000198412698412698</v>
      </c>
      <c r="AG454" s="32" t="str">
        <f t="shared" si="238"/>
        <v>0.0498030530789097i</v>
      </c>
      <c r="AH454" s="32">
        <f t="shared" si="252"/>
        <v>4.9803053078909698E-2</v>
      </c>
      <c r="AI454" s="32">
        <f t="shared" si="253"/>
        <v>1.5707963267948966</v>
      </c>
      <c r="AJ454" s="32" t="str">
        <f t="shared" si="239"/>
        <v>1+17.2867131078534i</v>
      </c>
      <c r="AK454" s="32">
        <f t="shared" si="254"/>
        <v>17.315612899150601</v>
      </c>
      <c r="AL454" s="32">
        <f t="shared" si="255"/>
        <v>1.5130128275056727</v>
      </c>
      <c r="AM454" s="32" t="str">
        <f t="shared" si="240"/>
        <v>1+373.825170957331i</v>
      </c>
      <c r="AN454" s="32">
        <f t="shared" si="256"/>
        <v>373.82650847856917</v>
      </c>
      <c r="AO454" s="32">
        <f t="shared" si="257"/>
        <v>1.5681212859137363</v>
      </c>
      <c r="AP454" s="61" t="str">
        <f t="shared" si="258"/>
        <v>-0.000473744456806067+0.00858787916005697i</v>
      </c>
      <c r="AQ454" s="52">
        <f t="shared" si="259"/>
        <v>-41.309085549307255</v>
      </c>
      <c r="AR454" s="64">
        <f t="shared" si="260"/>
        <v>93.157482082254276</v>
      </c>
      <c r="AS454" s="61" t="str">
        <f t="shared" si="261"/>
        <v>-0.00631679295294776+0.000202996110759605i</v>
      </c>
      <c r="AT454" s="67">
        <f t="shared" si="262"/>
        <v>-43.98558442980071</v>
      </c>
      <c r="AU454" s="64">
        <f t="shared" si="263"/>
        <v>178.15937942241197</v>
      </c>
    </row>
    <row r="455" spans="14:47" x14ac:dyDescent="0.25">
      <c r="N455" s="11">
        <v>37</v>
      </c>
      <c r="O455" s="53">
        <f t="shared" si="264"/>
        <v>234422.88153199267</v>
      </c>
      <c r="P455" s="51" t="str">
        <f t="shared" si="232"/>
        <v>122.692307692308</v>
      </c>
      <c r="Q455" s="18" t="str">
        <f t="shared" si="233"/>
        <v>1+1509.74546503123i</v>
      </c>
      <c r="R455" s="18">
        <f t="shared" si="241"/>
        <v>1509.7457962128476</v>
      </c>
      <c r="S455" s="18">
        <f t="shared" si="242"/>
        <v>1.5701339635840639</v>
      </c>
      <c r="T455" s="18" t="str">
        <f t="shared" si="234"/>
        <v>1+0.301949093006247i</v>
      </c>
      <c r="U455" s="18">
        <f t="shared" si="243"/>
        <v>1.0445923868989737</v>
      </c>
      <c r="V455" s="18">
        <f t="shared" si="244"/>
        <v>0.29324399255720568</v>
      </c>
      <c r="W455" s="32" t="str">
        <f t="shared" si="235"/>
        <v>1-14.3031721137811i</v>
      </c>
      <c r="X455" s="18">
        <f t="shared" si="245"/>
        <v>14.338086780196489</v>
      </c>
      <c r="Y455" s="18">
        <f t="shared" si="246"/>
        <v>-1.50099534800365</v>
      </c>
      <c r="Z455" s="32" t="str">
        <f t="shared" si="236"/>
        <v>-0.79441917994327+1.52632150717263i</v>
      </c>
      <c r="AA455" s="18">
        <f t="shared" si="247"/>
        <v>1.7206856705161075</v>
      </c>
      <c r="AB455" s="18">
        <f t="shared" si="248"/>
        <v>2.0506930493464886</v>
      </c>
      <c r="AC455" s="69" t="str">
        <f t="shared" si="249"/>
        <v>0.0820047272214788+0.702606111694764i</v>
      </c>
      <c r="AD455" s="67">
        <f t="shared" si="250"/>
        <v>-3.0069995004873373</v>
      </c>
      <c r="AE455" s="64">
        <f t="shared" si="251"/>
        <v>83.34283844383279</v>
      </c>
      <c r="AF455" s="32" t="str">
        <f t="shared" si="237"/>
        <v>-0.0000198412698412698</v>
      </c>
      <c r="AG455" s="32" t="str">
        <f t="shared" si="238"/>
        <v>0.0509631152098347i</v>
      </c>
      <c r="AH455" s="32">
        <f t="shared" si="252"/>
        <v>5.0963115209834702E-2</v>
      </c>
      <c r="AI455" s="32">
        <f t="shared" si="253"/>
        <v>1.5707963267948966</v>
      </c>
      <c r="AJ455" s="32" t="str">
        <f t="shared" si="239"/>
        <v>1+17.6893723828343i</v>
      </c>
      <c r="AK455" s="32">
        <f t="shared" si="254"/>
        <v>17.717615395379276</v>
      </c>
      <c r="AL455" s="32">
        <f t="shared" si="255"/>
        <v>1.5143253135479058</v>
      </c>
      <c r="AM455" s="32" t="str">
        <f t="shared" si="240"/>
        <v>1+382.532677778792i</v>
      </c>
      <c r="AN455" s="32">
        <f t="shared" si="256"/>
        <v>382.533984854435</v>
      </c>
      <c r="AO455" s="32">
        <f t="shared" si="257"/>
        <v>1.5681821769976056</v>
      </c>
      <c r="AP455" s="61" t="str">
        <f t="shared" si="258"/>
        <v>-0.000452490367043981+0.00839359668173768i</v>
      </c>
      <c r="AQ455" s="52">
        <f t="shared" si="259"/>
        <v>-41.508434981591634</v>
      </c>
      <c r="AR455" s="64">
        <f t="shared" si="260"/>
        <v>93.085770973480166</v>
      </c>
      <c r="AS455" s="61" t="str">
        <f t="shared" si="261"/>
        <v>-0.00593449867680957+0.0003703921089249i</v>
      </c>
      <c r="AT455" s="67">
        <f t="shared" si="262"/>
        <v>-44.515434482078973</v>
      </c>
      <c r="AU455" s="64">
        <f t="shared" si="263"/>
        <v>176.42860941731297</v>
      </c>
    </row>
    <row r="456" spans="14:47" x14ac:dyDescent="0.25">
      <c r="N456" s="11">
        <v>38</v>
      </c>
      <c r="O456" s="53">
        <f t="shared" si="264"/>
        <v>239883.29190194907</v>
      </c>
      <c r="P456" s="51" t="str">
        <f t="shared" si="232"/>
        <v>122.692307692308</v>
      </c>
      <c r="Q456" s="18" t="str">
        <f t="shared" si="233"/>
        <v>1+1544.9119544941i</v>
      </c>
      <c r="R456" s="18">
        <f t="shared" si="241"/>
        <v>1544.912278137105</v>
      </c>
      <c r="S456" s="18">
        <f t="shared" si="242"/>
        <v>1.5701490408072185</v>
      </c>
      <c r="T456" s="18" t="str">
        <f t="shared" si="234"/>
        <v>1+0.308982390898821i</v>
      </c>
      <c r="U456" s="18">
        <f t="shared" si="243"/>
        <v>1.0466470837324069</v>
      </c>
      <c r="V456" s="18">
        <f t="shared" si="244"/>
        <v>0.29967701229043081</v>
      </c>
      <c r="W456" s="32" t="str">
        <f t="shared" si="235"/>
        <v>1-14.6363357914177i</v>
      </c>
      <c r="X456" s="18">
        <f t="shared" si="245"/>
        <v>14.67045757292985</v>
      </c>
      <c r="Y456" s="18">
        <f t="shared" si="246"/>
        <v>-1.5025792305191945</v>
      </c>
      <c r="Z456" s="32" t="str">
        <f t="shared" si="236"/>
        <v>-0.87898755048867+1.56187410225714i</v>
      </c>
      <c r="AA456" s="18">
        <f t="shared" si="247"/>
        <v>1.7922248255215132</v>
      </c>
      <c r="AB456" s="18">
        <f t="shared" si="248"/>
        <v>2.0833965379655686</v>
      </c>
      <c r="AC456" s="69" t="str">
        <f t="shared" si="249"/>
        <v>0.0976790896339484+0.673353048993696i</v>
      </c>
      <c r="AD456" s="67">
        <f t="shared" si="250"/>
        <v>-3.3447010195796723</v>
      </c>
      <c r="AE456" s="64">
        <f t="shared" si="251"/>
        <v>81.746037806204598</v>
      </c>
      <c r="AF456" s="32" t="str">
        <f t="shared" si="237"/>
        <v>-0.0000198412698412698</v>
      </c>
      <c r="AG456" s="32" t="str">
        <f t="shared" si="238"/>
        <v>0.0521501986590205i</v>
      </c>
      <c r="AH456" s="32">
        <f t="shared" si="252"/>
        <v>5.21501986590205E-2</v>
      </c>
      <c r="AI456" s="32">
        <f t="shared" si="253"/>
        <v>1.5707963267948966</v>
      </c>
      <c r="AJ456" s="32" t="str">
        <f t="shared" si="239"/>
        <v>1+18.101410797199i</v>
      </c>
      <c r="AK456" s="32">
        <f t="shared" si="254"/>
        <v>18.129011910442127</v>
      </c>
      <c r="AL456" s="32">
        <f t="shared" si="255"/>
        <v>1.5156081119846774</v>
      </c>
      <c r="AM456" s="32" t="str">
        <f t="shared" si="240"/>
        <v>1+391.443008489428i</v>
      </c>
      <c r="AN456" s="32">
        <f t="shared" si="256"/>
        <v>391.4442858124952</v>
      </c>
      <c r="AO456" s="32">
        <f t="shared" si="257"/>
        <v>1.568241682049919</v>
      </c>
      <c r="AP456" s="61" t="str">
        <f t="shared" si="258"/>
        <v>-0.000432186910584148+0.00820365674558459i</v>
      </c>
      <c r="AQ456" s="52">
        <f t="shared" si="259"/>
        <v>-41.707813602868328</v>
      </c>
      <c r="AR456" s="64">
        <f t="shared" si="260"/>
        <v>93.015681425444441</v>
      </c>
      <c r="AS456" s="61" t="str">
        <f t="shared" si="261"/>
        <v>-0.00556617290651465+0.000510311348601101i</v>
      </c>
      <c r="AT456" s="67">
        <f t="shared" si="262"/>
        <v>-45.052514622448008</v>
      </c>
      <c r="AU456" s="64">
        <f t="shared" si="263"/>
        <v>174.76171923164904</v>
      </c>
    </row>
    <row r="457" spans="14:47" x14ac:dyDescent="0.25">
      <c r="N457" s="11">
        <v>39</v>
      </c>
      <c r="O457" s="53">
        <f t="shared" si="264"/>
        <v>245470.89156850305</v>
      </c>
      <c r="P457" s="51" t="str">
        <f t="shared" si="232"/>
        <v>122.692307692308</v>
      </c>
      <c r="Q457" s="18" t="str">
        <f t="shared" si="233"/>
        <v>1+1580.89757672458i</v>
      </c>
      <c r="R457" s="18">
        <f t="shared" si="241"/>
        <v>1580.8978930005721</v>
      </c>
      <c r="S457" s="18">
        <f t="shared" si="242"/>
        <v>1.5701637748311585</v>
      </c>
      <c r="T457" s="18" t="str">
        <f t="shared" si="234"/>
        <v>1+0.316179515344916i</v>
      </c>
      <c r="U457" s="18">
        <f t="shared" si="243"/>
        <v>1.0487943010541896</v>
      </c>
      <c r="V457" s="18">
        <f t="shared" si="244"/>
        <v>0.30623350431404234</v>
      </c>
      <c r="W457" s="32" t="str">
        <f t="shared" si="235"/>
        <v>1-14.9772598480257i</v>
      </c>
      <c r="X457" s="18">
        <f t="shared" si="245"/>
        <v>15.010606668462231</v>
      </c>
      <c r="Y457" s="18">
        <f t="shared" si="246"/>
        <v>-1.5041273907821833</v>
      </c>
      <c r="Z457" s="32" t="str">
        <f t="shared" si="236"/>
        <v>-0.96754150554891+1.59825482366452i</v>
      </c>
      <c r="AA457" s="18">
        <f t="shared" si="247"/>
        <v>1.8683027180643821</v>
      </c>
      <c r="AB457" s="18">
        <f t="shared" si="248"/>
        <v>2.1151577431566082</v>
      </c>
      <c r="AC457" s="69" t="str">
        <f t="shared" si="249"/>
        <v>0.111172042450349+0.64444677227482i</v>
      </c>
      <c r="AD457" s="67">
        <f t="shared" si="250"/>
        <v>-3.6889033464521366</v>
      </c>
      <c r="AE457" s="64">
        <f t="shared" si="251"/>
        <v>80.212366871407141</v>
      </c>
      <c r="AF457" s="32" t="str">
        <f t="shared" si="237"/>
        <v>-0.0000198412698412698</v>
      </c>
      <c r="AG457" s="32" t="str">
        <f t="shared" si="238"/>
        <v>0.0533649328338248i</v>
      </c>
      <c r="AH457" s="32">
        <f t="shared" si="252"/>
        <v>5.3364932833824798E-2</v>
      </c>
      <c r="AI457" s="32">
        <f t="shared" si="253"/>
        <v>1.5707963267948966</v>
      </c>
      <c r="AJ457" s="32" t="str">
        <f t="shared" si="239"/>
        <v>1+18.5230468191689i</v>
      </c>
      <c r="AK457" s="32">
        <f t="shared" si="254"/>
        <v>18.550020578563334</v>
      </c>
      <c r="AL457" s="32">
        <f t="shared" si="255"/>
        <v>1.5168618860756402</v>
      </c>
      <c r="AM457" s="32" t="str">
        <f t="shared" si="240"/>
        <v>1+400.560887464527i</v>
      </c>
      <c r="AN457" s="32">
        <f t="shared" si="256"/>
        <v>400.56213571226311</v>
      </c>
      <c r="AO457" s="32">
        <f t="shared" si="257"/>
        <v>1.5682998326193556</v>
      </c>
      <c r="AP457" s="61" t="str">
        <f t="shared" si="258"/>
        <v>-0.000412791823807442+0.00801796579837615i</v>
      </c>
      <c r="AQ457" s="52">
        <f t="shared" si="259"/>
        <v>-41.907220107432607</v>
      </c>
      <c r="AR457" s="64">
        <f t="shared" si="260"/>
        <v>92.947177243774419</v>
      </c>
      <c r="AS457" s="61" t="str">
        <f t="shared" si="261"/>
        <v>-0.00521304308913289+0.000625351275628378i</v>
      </c>
      <c r="AT457" s="67">
        <f t="shared" si="262"/>
        <v>-45.596123453884736</v>
      </c>
      <c r="AU457" s="64">
        <f t="shared" si="263"/>
        <v>173.15954411518155</v>
      </c>
    </row>
    <row r="458" spans="14:47" x14ac:dyDescent="0.25">
      <c r="N458" s="11">
        <v>40</v>
      </c>
      <c r="O458" s="53">
        <f t="shared" si="264"/>
        <v>251188.64315095844</v>
      </c>
      <c r="P458" s="51" t="str">
        <f t="shared" si="232"/>
        <v>122.692307692308</v>
      </c>
      <c r="Q458" s="18" t="str">
        <f t="shared" si="233"/>
        <v>1+1617.72141177589i</v>
      </c>
      <c r="R458" s="18">
        <f t="shared" si="241"/>
        <v>1617.7217208525631</v>
      </c>
      <c r="S458" s="18">
        <f t="shared" si="242"/>
        <v>1.5701781734680325</v>
      </c>
      <c r="T458" s="18" t="str">
        <f t="shared" si="234"/>
        <v>1+0.323544282355179i</v>
      </c>
      <c r="U458" s="18">
        <f t="shared" si="243"/>
        <v>1.051038011988495</v>
      </c>
      <c r="V458" s="18">
        <f t="shared" si="244"/>
        <v>0.31291468937429084</v>
      </c>
      <c r="W458" s="32" t="str">
        <f t="shared" si="235"/>
        <v>1-15.3261250460526i</v>
      </c>
      <c r="X458" s="18">
        <f t="shared" si="245"/>
        <v>15.358714429510067</v>
      </c>
      <c r="Y458" s="18">
        <f t="shared" si="246"/>
        <v>-1.5056406199459349</v>
      </c>
      <c r="Z458" s="32" t="str">
        <f t="shared" si="236"/>
        <v>-1.06026887993533+1.63548296093483i</v>
      </c>
      <c r="AA458" s="18">
        <f t="shared" si="247"/>
        <v>1.9490958450695741</v>
      </c>
      <c r="AB458" s="18">
        <f t="shared" si="248"/>
        <v>2.1459692012144744</v>
      </c>
      <c r="AC458" s="69" t="str">
        <f t="shared" si="249"/>
        <v>0.122626268600902+0.61604991632498i</v>
      </c>
      <c r="AD458" s="67">
        <f t="shared" si="250"/>
        <v>-4.038927775929765</v>
      </c>
      <c r="AE458" s="64">
        <f t="shared" si="251"/>
        <v>78.742277444502363</v>
      </c>
      <c r="AF458" s="32" t="str">
        <f t="shared" si="237"/>
        <v>-0.0000198412698412698</v>
      </c>
      <c r="AG458" s="32" t="str">
        <f t="shared" si="238"/>
        <v>0.0546079618023862i</v>
      </c>
      <c r="AH458" s="32">
        <f t="shared" si="252"/>
        <v>5.4607961802386203E-2</v>
      </c>
      <c r="AI458" s="32">
        <f t="shared" si="253"/>
        <v>1.5707963267948966</v>
      </c>
      <c r="AJ458" s="32" t="str">
        <f t="shared" si="239"/>
        <v>1+18.9545040057439i</v>
      </c>
      <c r="AK458" s="32">
        <f t="shared" si="254"/>
        <v>18.980864630036262</v>
      </c>
      <c r="AL458" s="32">
        <f t="shared" si="255"/>
        <v>1.5180872848125233</v>
      </c>
      <c r="AM458" s="32" t="str">
        <f t="shared" si="240"/>
        <v>1+409.891149124212i</v>
      </c>
      <c r="AN458" s="32">
        <f t="shared" si="256"/>
        <v>409.89236895844624</v>
      </c>
      <c r="AO458" s="32">
        <f t="shared" si="257"/>
        <v>1.5683566595365435</v>
      </c>
      <c r="AP458" s="61" t="str">
        <f t="shared" si="258"/>
        <v>-0.000394264699647733+0.00783643206685673i</v>
      </c>
      <c r="AQ458" s="52">
        <f t="shared" si="259"/>
        <v>-42.10665324764399</v>
      </c>
      <c r="AR458" s="64">
        <f t="shared" si="260"/>
        <v>92.880223010447978</v>
      </c>
      <c r="AS458" s="61" t="str">
        <f t="shared" si="261"/>
        <v>-0.00487598052803234+0.000718065688275216i</v>
      </c>
      <c r="AT458" s="67">
        <f t="shared" si="262"/>
        <v>-46.145581023573747</v>
      </c>
      <c r="AU458" s="64">
        <f t="shared" si="263"/>
        <v>171.62250045495034</v>
      </c>
    </row>
    <row r="459" spans="14:47" x14ac:dyDescent="0.25">
      <c r="N459" s="11">
        <v>41</v>
      </c>
      <c r="O459" s="53">
        <f t="shared" si="264"/>
        <v>257039.57827688678</v>
      </c>
      <c r="P459" s="51" t="str">
        <f t="shared" si="232"/>
        <v>122.692307692308</v>
      </c>
      <c r="Q459" s="18" t="str">
        <f t="shared" si="233"/>
        <v>1+1655.40298413279i</v>
      </c>
      <c r="R459" s="18">
        <f t="shared" si="241"/>
        <v>1655.4032861740206</v>
      </c>
      <c r="S459" s="18">
        <f t="shared" si="242"/>
        <v>1.5701922443521643</v>
      </c>
      <c r="T459" s="18" t="str">
        <f t="shared" si="234"/>
        <v>1+0.331080596826559i</v>
      </c>
      <c r="U459" s="18">
        <f t="shared" si="243"/>
        <v>1.0533823434988032</v>
      </c>
      <c r="V459" s="18">
        <f t="shared" si="244"/>
        <v>0.31972172319569681</v>
      </c>
      <c r="W459" s="32" t="str">
        <f t="shared" si="235"/>
        <v>1-15.6831163584442i</v>
      </c>
      <c r="X459" s="18">
        <f t="shared" si="245"/>
        <v>15.714965437839821</v>
      </c>
      <c r="Y459" s="18">
        <f t="shared" si="246"/>
        <v>-1.507119692608281</v>
      </c>
      <c r="Z459" s="32" t="str">
        <f t="shared" si="236"/>
        <v>-1.15736636084112+1.67357825291918i</v>
      </c>
      <c r="AA459" s="18">
        <f t="shared" si="247"/>
        <v>2.0347877191123973</v>
      </c>
      <c r="AB459" s="18">
        <f t="shared" si="248"/>
        <v>2.1758299507490269</v>
      </c>
      <c r="AC459" s="69" t="str">
        <f t="shared" si="249"/>
        <v>0.132192076777957+0.588298409568641i</v>
      </c>
      <c r="AD459" s="67">
        <f t="shared" si="250"/>
        <v>-4.3941224187773003</v>
      </c>
      <c r="AE459" s="64">
        <f t="shared" si="251"/>
        <v>77.335846008624358</v>
      </c>
      <c r="AF459" s="32" t="str">
        <f t="shared" si="237"/>
        <v>-0.0000198412698412698</v>
      </c>
      <c r="AG459" s="32" t="str">
        <f t="shared" si="238"/>
        <v>0.0558799446351168i</v>
      </c>
      <c r="AH459" s="32">
        <f t="shared" si="252"/>
        <v>5.58799446351168E-2</v>
      </c>
      <c r="AI459" s="32">
        <f t="shared" si="253"/>
        <v>1.5707963267948966</v>
      </c>
      <c r="AJ459" s="32" t="str">
        <f t="shared" si="239"/>
        <v>1+19.3960111212352i</v>
      </c>
      <c r="AK459" s="32">
        <f t="shared" si="254"/>
        <v>19.42177250961095</v>
      </c>
      <c r="AL459" s="32">
        <f t="shared" si="255"/>
        <v>1.5192849431891196</v>
      </c>
      <c r="AM459" s="32" t="str">
        <f t="shared" si="240"/>
        <v>1+419.43874049671i</v>
      </c>
      <c r="AN459" s="32">
        <f t="shared" si="256"/>
        <v>419.43993256420691</v>
      </c>
      <c r="AO459" s="32">
        <f t="shared" si="257"/>
        <v>1.5684121929303971</v>
      </c>
      <c r="AP459" s="61" t="str">
        <f t="shared" si="258"/>
        <v>-0.000376566908008987+0.00765896554013496i</v>
      </c>
      <c r="AQ459" s="52">
        <f t="shared" si="259"/>
        <v>-42.30611183137399</v>
      </c>
      <c r="AR459" s="64">
        <f t="shared" si="260"/>
        <v>92.814784069260384</v>
      </c>
      <c r="AS459" s="61" t="str">
        <f t="shared" si="261"/>
        <v>-0.00455553640781799+0.00079092084764338i</v>
      </c>
      <c r="AT459" s="67">
        <f t="shared" si="262"/>
        <v>-46.700234250151283</v>
      </c>
      <c r="AU459" s="64">
        <f t="shared" si="263"/>
        <v>170.15063007788473</v>
      </c>
    </row>
    <row r="460" spans="14:47" x14ac:dyDescent="0.25">
      <c r="N460" s="11">
        <v>42</v>
      </c>
      <c r="O460" s="53">
        <f t="shared" si="264"/>
        <v>263026.79918953858</v>
      </c>
      <c r="P460" s="51" t="str">
        <f t="shared" si="232"/>
        <v>122.692307692308</v>
      </c>
      <c r="Q460" s="18" t="str">
        <f t="shared" si="233"/>
        <v>1+1693.96227306373i</v>
      </c>
      <c r="R460" s="18">
        <f t="shared" si="241"/>
        <v>1693.9625682296642</v>
      </c>
      <c r="S460" s="18">
        <f t="shared" si="242"/>
        <v>1.5702059949441007</v>
      </c>
      <c r="T460" s="18" t="str">
        <f t="shared" si="234"/>
        <v>1+0.338792454612747i</v>
      </c>
      <c r="U460" s="18">
        <f t="shared" si="243"/>
        <v>1.0558315809363397</v>
      </c>
      <c r="V460" s="18">
        <f t="shared" si="244"/>
        <v>0.32665569082312551</v>
      </c>
      <c r="W460" s="32" t="str">
        <f t="shared" si="235"/>
        <v>1-16.0484230667196i</v>
      </c>
      <c r="X460" s="18">
        <f t="shared" si="245"/>
        <v>16.079548592184352</v>
      </c>
      <c r="Y460" s="18">
        <f t="shared" si="246"/>
        <v>-1.5085653670929196</v>
      </c>
      <c r="Z460" s="32" t="str">
        <f t="shared" si="236"/>
        <v>-1.25903990504142+1.71256089824566i</v>
      </c>
      <c r="AA460" s="18">
        <f t="shared" si="247"/>
        <v>2.1255696442804899</v>
      </c>
      <c r="AB460" s="18">
        <f t="shared" si="248"/>
        <v>2.2047447381335621</v>
      </c>
      <c r="AC460" s="69" t="str">
        <f t="shared" si="249"/>
        <v>0.140023238912036+0.561302828205931i</v>
      </c>
      <c r="AD460" s="67">
        <f t="shared" si="250"/>
        <v>-4.7538662610300895</v>
      </c>
      <c r="AE460" s="64">
        <f t="shared" si="251"/>
        <v>75.992818908901143</v>
      </c>
      <c r="AF460" s="32" t="str">
        <f t="shared" si="237"/>
        <v>-0.0000198412698412698</v>
      </c>
      <c r="AG460" s="32" t="str">
        <f t="shared" si="238"/>
        <v>0.0571815557541516i</v>
      </c>
      <c r="AH460" s="32">
        <f t="shared" si="252"/>
        <v>5.7181555754151597E-2</v>
      </c>
      <c r="AI460" s="32">
        <f t="shared" si="253"/>
        <v>1.5707963267948966</v>
      </c>
      <c r="AJ460" s="32" t="str">
        <f t="shared" si="239"/>
        <v>1+19.8478022585595i</v>
      </c>
      <c r="AK460" s="32">
        <f t="shared" si="254"/>
        <v>19.872977997644931</v>
      </c>
      <c r="AL460" s="32">
        <f t="shared" si="255"/>
        <v>1.5204554824687253</v>
      </c>
      <c r="AM460" s="32" t="str">
        <f t="shared" si="240"/>
        <v>1+429.208723841349i</v>
      </c>
      <c r="AN460" s="32">
        <f t="shared" si="256"/>
        <v>429.2098887741513</v>
      </c>
      <c r="AO460" s="32">
        <f t="shared" si="257"/>
        <v>1.5684664622440865</v>
      </c>
      <c r="AP460" s="61" t="str">
        <f t="shared" si="258"/>
        <v>-0.000359661519419257+0.0074854779509974i</v>
      </c>
      <c r="AQ460" s="52">
        <f t="shared" si="259"/>
        <v>-42.505594719564137</v>
      </c>
      <c r="AR460" s="64">
        <f t="shared" si="260"/>
        <v>92.750826511416136</v>
      </c>
      <c r="AS460" s="61" t="str">
        <f t="shared" si="261"/>
        <v>-0.00425198091522909+0.000846261839456415i</v>
      </c>
      <c r="AT460" s="67">
        <f t="shared" si="262"/>
        <v>-47.259460980594213</v>
      </c>
      <c r="AU460" s="64">
        <f t="shared" si="263"/>
        <v>168.74364542031731</v>
      </c>
    </row>
    <row r="461" spans="14:47" x14ac:dyDescent="0.25">
      <c r="N461" s="11">
        <v>43</v>
      </c>
      <c r="O461" s="53">
        <f t="shared" si="264"/>
        <v>269153.48039269145</v>
      </c>
      <c r="P461" s="51" t="str">
        <f t="shared" si="232"/>
        <v>122.692307692308</v>
      </c>
      <c r="Q461" s="18" t="str">
        <f t="shared" si="233"/>
        <v>1+1733.4197232141i</v>
      </c>
      <c r="R461" s="18">
        <f t="shared" si="241"/>
        <v>1733.4200116612383</v>
      </c>
      <c r="S461" s="18">
        <f t="shared" si="242"/>
        <v>1.5702194325345671</v>
      </c>
      <c r="T461" s="18" t="str">
        <f t="shared" si="234"/>
        <v>1+0.34668394464282i</v>
      </c>
      <c r="U461" s="18">
        <f t="shared" si="243"/>
        <v>1.0583901726079592</v>
      </c>
      <c r="V461" s="18">
        <f t="shared" si="244"/>
        <v>0.33371760077119272</v>
      </c>
      <c r="W461" s="32" t="str">
        <f t="shared" si="235"/>
        <v>1-16.422238861331i</v>
      </c>
      <c r="X461" s="18">
        <f t="shared" si="245"/>
        <v>16.452657208445391</v>
      </c>
      <c r="Y461" s="18">
        <f t="shared" si="246"/>
        <v>-1.5099783857305797</v>
      </c>
      <c r="Z461" s="32" t="str">
        <f t="shared" si="236"/>
        <v>-1.36550517575507+1.75245156602883i</v>
      </c>
      <c r="AA461" s="18">
        <f t="shared" si="247"/>
        <v>2.221641482393319</v>
      </c>
      <c r="AB461" s="18">
        <f t="shared" si="248"/>
        <v>2.2327232336336031</v>
      </c>
      <c r="AC461" s="69" t="str">
        <f t="shared" si="249"/>
        <v>0.14627348084491+0.535150235435424i</v>
      </c>
      <c r="AD461" s="67">
        <f t="shared" si="250"/>
        <v>-5.1175719787732454</v>
      </c>
      <c r="AE461" s="64">
        <f t="shared" si="251"/>
        <v>74.712656913416893</v>
      </c>
      <c r="AF461" s="32" t="str">
        <f t="shared" si="237"/>
        <v>-0.0000198412698412698</v>
      </c>
      <c r="AG461" s="32" t="str">
        <f t="shared" si="238"/>
        <v>0.0585134852909344i</v>
      </c>
      <c r="AH461" s="32">
        <f t="shared" si="252"/>
        <v>5.8513485290934399E-2</v>
      </c>
      <c r="AI461" s="32">
        <f t="shared" si="253"/>
        <v>1.5707963267948966</v>
      </c>
      <c r="AJ461" s="32" t="str">
        <f t="shared" si="239"/>
        <v>1+20.3101169633581i</v>
      </c>
      <c r="AK461" s="32">
        <f t="shared" si="254"/>
        <v>20.334720334080981</v>
      </c>
      <c r="AL461" s="32">
        <f t="shared" si="255"/>
        <v>1.5215995104488482</v>
      </c>
      <c r="AM461" s="32" t="str">
        <f t="shared" si="240"/>
        <v>1+439.206279332619i</v>
      </c>
      <c r="AN461" s="32">
        <f t="shared" si="256"/>
        <v>439.20741774838291</v>
      </c>
      <c r="AO461" s="32">
        <f t="shared" si="257"/>
        <v>1.5685194962506404</v>
      </c>
      <c r="AP461" s="61" t="str">
        <f t="shared" si="258"/>
        <v>-0.000343513231805743+0.0073158827562582i</v>
      </c>
      <c r="AQ461" s="52">
        <f t="shared" si="259"/>
        <v>-42.705100823888039</v>
      </c>
      <c r="AR461" s="64">
        <f t="shared" si="260"/>
        <v>92.688317161256435</v>
      </c>
      <c r="AS461" s="61" t="str">
        <f t="shared" si="261"/>
        <v>-0.00396534325556205+0.000886288449335114i</v>
      </c>
      <c r="AT461" s="67">
        <f t="shared" si="262"/>
        <v>-47.822672802661273</v>
      </c>
      <c r="AU461" s="64">
        <f t="shared" si="263"/>
        <v>167.40097407467337</v>
      </c>
    </row>
    <row r="462" spans="14:47" x14ac:dyDescent="0.25">
      <c r="N462" s="11">
        <v>44</v>
      </c>
      <c r="O462" s="53">
        <f t="shared" si="264"/>
        <v>275422.87033381703</v>
      </c>
      <c r="P462" s="51" t="str">
        <f t="shared" si="232"/>
        <v>122.692307692308</v>
      </c>
      <c r="Q462" s="18" t="str">
        <f t="shared" si="233"/>
        <v>1+1773.79625544624i</v>
      </c>
      <c r="R462" s="18">
        <f t="shared" si="241"/>
        <v>1773.7965373275206</v>
      </c>
      <c r="S462" s="18">
        <f t="shared" si="242"/>
        <v>1.5702325642483319</v>
      </c>
      <c r="T462" s="18" t="str">
        <f t="shared" si="234"/>
        <v>1+0.354759251089248i</v>
      </c>
      <c r="U462" s="18">
        <f t="shared" si="243"/>
        <v>1.0610627343533483</v>
      </c>
      <c r="V462" s="18">
        <f t="shared" si="244"/>
        <v>0.34090837899048171</v>
      </c>
      <c r="W462" s="32" t="str">
        <f t="shared" si="235"/>
        <v>1-16.8047619443607i</v>
      </c>
      <c r="X462" s="18">
        <f t="shared" si="245"/>
        <v>16.834489122234555</v>
      </c>
      <c r="Y462" s="18">
        <f t="shared" si="246"/>
        <v>-1.5113594751395967</v>
      </c>
      <c r="Z462" s="32" t="str">
        <f t="shared" si="236"/>
        <v>-1.4769880000953+1.79327140682873i</v>
      </c>
      <c r="AA462" s="18">
        <f t="shared" si="247"/>
        <v>2.3232124076319427</v>
      </c>
      <c r="AB462" s="18">
        <f t="shared" si="248"/>
        <v>2.2597792784227715</v>
      </c>
      <c r="AC462" s="69" t="str">
        <f t="shared" si="249"/>
        <v>0.151093625581867+0.509906332517236i</v>
      </c>
      <c r="AD462" s="67">
        <f t="shared" si="250"/>
        <v>-5.4846876576207393</v>
      </c>
      <c r="AE462" s="64">
        <f t="shared" si="251"/>
        <v>73.494577994017106</v>
      </c>
      <c r="AF462" s="32" t="str">
        <f t="shared" si="237"/>
        <v>-0.0000198412698412698</v>
      </c>
      <c r="AG462" s="32" t="str">
        <f t="shared" si="238"/>
        <v>0.0598764394521363i</v>
      </c>
      <c r="AH462" s="32">
        <f t="shared" si="252"/>
        <v>5.9876439452136297E-2</v>
      </c>
      <c r="AI462" s="32">
        <f t="shared" si="253"/>
        <v>1.5707963267948966</v>
      </c>
      <c r="AJ462" s="32" t="str">
        <f t="shared" si="239"/>
        <v>1+20.7832003610068i</v>
      </c>
      <c r="AK462" s="32">
        <f t="shared" si="254"/>
        <v>20.807244345317645</v>
      </c>
      <c r="AL462" s="32">
        <f t="shared" si="255"/>
        <v>1.522717621723032</v>
      </c>
      <c r="AM462" s="32" t="str">
        <f t="shared" si="240"/>
        <v>1+449.436707806773i</v>
      </c>
      <c r="AN462" s="32">
        <f t="shared" si="256"/>
        <v>449.43782030909534</v>
      </c>
      <c r="AO462" s="32">
        <f t="shared" si="257"/>
        <v>1.5685713230681972</v>
      </c>
      <c r="AP462" s="61" t="str">
        <f t="shared" si="258"/>
        <v>-0.000328088300277432+0.0071500951162532i</v>
      </c>
      <c r="AQ462" s="52">
        <f t="shared" si="259"/>
        <v>-42.904629104515521</v>
      </c>
      <c r="AR462" s="64">
        <f t="shared" si="260"/>
        <v>92.62722356213132</v>
      </c>
      <c r="AS462" s="61" t="str">
        <f t="shared" si="261"/>
        <v>-0.00369545082867798+0.000913039492433618i</v>
      </c>
      <c r="AT462" s="67">
        <f t="shared" si="262"/>
        <v>-48.389316762136261</v>
      </c>
      <c r="AU462" s="64">
        <f t="shared" si="263"/>
        <v>166.12180155614843</v>
      </c>
    </row>
    <row r="463" spans="14:47" x14ac:dyDescent="0.25">
      <c r="N463" s="11">
        <v>45</v>
      </c>
      <c r="O463" s="53">
        <f t="shared" si="264"/>
        <v>281838.29312644573</v>
      </c>
      <c r="P463" s="51" t="str">
        <f t="shared" si="232"/>
        <v>122.692307692308</v>
      </c>
      <c r="Q463" s="18" t="str">
        <f t="shared" si="233"/>
        <v>1+1815.11327793198i</v>
      </c>
      <c r="R463" s="18">
        <f t="shared" si="241"/>
        <v>1815.1135533968604</v>
      </c>
      <c r="S463" s="18">
        <f t="shared" si="242"/>
        <v>1.5702453970479859</v>
      </c>
      <c r="T463" s="18" t="str">
        <f t="shared" si="234"/>
        <v>1+0.363022655586396i</v>
      </c>
      <c r="U463" s="18">
        <f t="shared" si="243"/>
        <v>1.0638540541206765</v>
      </c>
      <c r="V463" s="18">
        <f t="shared" si="244"/>
        <v>0.34822886266211356</v>
      </c>
      <c r="W463" s="32" t="str">
        <f t="shared" si="235"/>
        <v>1-17.1961951346106i</v>
      </c>
      <c r="X463" s="18">
        <f t="shared" si="245"/>
        <v>17.225246793808363</v>
      </c>
      <c r="Y463" s="18">
        <f t="shared" si="246"/>
        <v>-1.5127093465055421</v>
      </c>
      <c r="Z463" s="32" t="str">
        <f t="shared" si="236"/>
        <v>-1.59372484807929+1.83504206386529i</v>
      </c>
      <c r="AA463" s="18">
        <f t="shared" si="247"/>
        <v>2.4305016493597242</v>
      </c>
      <c r="AB463" s="18">
        <f t="shared" si="248"/>
        <v>2.2859301772264269</v>
      </c>
      <c r="AC463" s="69" t="str">
        <f t="shared" si="249"/>
        <v>0.154629356058067+0.485617774128776i</v>
      </c>
      <c r="AD463" s="67">
        <f t="shared" si="250"/>
        <v>-5.854697576408217</v>
      </c>
      <c r="AE463" s="64">
        <f t="shared" si="251"/>
        <v>72.33759748305917</v>
      </c>
      <c r="AF463" s="32" t="str">
        <f t="shared" si="237"/>
        <v>-0.0000198412698412698</v>
      </c>
      <c r="AG463" s="32" t="str">
        <f t="shared" si="238"/>
        <v>0.0612711408940939i</v>
      </c>
      <c r="AH463" s="32">
        <f t="shared" si="252"/>
        <v>6.1271140894093898E-2</v>
      </c>
      <c r="AI463" s="32">
        <f t="shared" si="253"/>
        <v>1.5707963267948966</v>
      </c>
      <c r="AJ463" s="32" t="str">
        <f t="shared" si="239"/>
        <v>1+21.2673032865851i</v>
      </c>
      <c r="AK463" s="32">
        <f t="shared" si="254"/>
        <v>21.290800574041207</v>
      </c>
      <c r="AL463" s="32">
        <f t="shared" si="255"/>
        <v>1.5238103979396611</v>
      </c>
      <c r="AM463" s="32" t="str">
        <f t="shared" si="240"/>
        <v>1+459.905433572404i</v>
      </c>
      <c r="AN463" s="32">
        <f t="shared" si="256"/>
        <v>459.9065207511423</v>
      </c>
      <c r="AO463" s="32">
        <f t="shared" si="257"/>
        <v>1.5686219701749071</v>
      </c>
      <c r="AP463" s="61" t="str">
        <f t="shared" si="258"/>
        <v>-0.000313354469805013+0.0069880318735833i</v>
      </c>
      <c r="AQ463" s="52">
        <f t="shared" si="259"/>
        <v>-43.104178567971701</v>
      </c>
      <c r="AR463" s="64">
        <f t="shared" si="260"/>
        <v>92.567513962425224</v>
      </c>
      <c r="AS463" s="61" t="str">
        <f t="shared" si="261"/>
        <v>-0.00344196628387433+0.00092838436858542i</v>
      </c>
      <c r="AT463" s="67">
        <f t="shared" si="262"/>
        <v>-48.958876144379921</v>
      </c>
      <c r="AU463" s="64">
        <f t="shared" si="263"/>
        <v>164.90511144548441</v>
      </c>
    </row>
    <row r="464" spans="14:47" x14ac:dyDescent="0.25">
      <c r="N464" s="11">
        <v>46</v>
      </c>
      <c r="O464" s="53">
        <f t="shared" si="264"/>
        <v>288403.1503126609</v>
      </c>
      <c r="P464" s="51" t="str">
        <f t="shared" si="232"/>
        <v>122.692307692308</v>
      </c>
      <c r="Q464" s="18" t="str">
        <f t="shared" si="233"/>
        <v>1+1857.39269750354i</v>
      </c>
      <c r="R464" s="18">
        <f t="shared" si="241"/>
        <v>1857.392966698075</v>
      </c>
      <c r="S464" s="18">
        <f t="shared" si="242"/>
        <v>1.570257937737632</v>
      </c>
      <c r="T464" s="18" t="str">
        <f t="shared" si="234"/>
        <v>1+0.371478539500708i</v>
      </c>
      <c r="U464" s="18">
        <f t="shared" si="243"/>
        <v>1.0667690965291314</v>
      </c>
      <c r="V464" s="18">
        <f t="shared" si="244"/>
        <v>0.35567979383449294</v>
      </c>
      <c r="W464" s="32" t="str">
        <f t="shared" si="235"/>
        <v>1-17.5967459751394i</v>
      </c>
      <c r="X464" s="18">
        <f t="shared" si="245"/>
        <v>17.625137415452528</v>
      </c>
      <c r="Y464" s="18">
        <f t="shared" si="246"/>
        <v>-1.5140286958595826</v>
      </c>
      <c r="Z464" s="32" t="str">
        <f t="shared" si="236"/>
        <v>-1.71596333421281+1.87778568449377i</v>
      </c>
      <c r="AA464" s="18">
        <f t="shared" si="247"/>
        <v>2.5437392243019885</v>
      </c>
      <c r="AB464" s="18">
        <f t="shared" si="248"/>
        <v>2.311196046461041</v>
      </c>
      <c r="AC464" s="69" t="str">
        <f t="shared" si="249"/>
        <v>0.157019542582948+0.462314528456131i</v>
      </c>
      <c r="AD464" s="67">
        <f t="shared" si="250"/>
        <v>-6.2271222146009775</v>
      </c>
      <c r="AE464" s="64">
        <f t="shared" si="251"/>
        <v>71.24056504152729</v>
      </c>
      <c r="AF464" s="32" t="str">
        <f t="shared" si="237"/>
        <v>-0.0000198412698412698</v>
      </c>
      <c r="AG464" s="32" t="str">
        <f t="shared" si="238"/>
        <v>0.0626983291059731i</v>
      </c>
      <c r="AH464" s="32">
        <f t="shared" si="252"/>
        <v>6.2698329105973102E-2</v>
      </c>
      <c r="AI464" s="32">
        <f t="shared" si="253"/>
        <v>1.5707963267948966</v>
      </c>
      <c r="AJ464" s="32" t="str">
        <f t="shared" si="239"/>
        <v>1+21.762682417872i</v>
      </c>
      <c r="AK464" s="32">
        <f t="shared" si="254"/>
        <v>21.785645412086257</v>
      </c>
      <c r="AL464" s="32">
        <f t="shared" si="255"/>
        <v>1.5248784080576192</v>
      </c>
      <c r="AM464" s="32" t="str">
        <f t="shared" si="240"/>
        <v>1+470.618007286483i</v>
      </c>
      <c r="AN464" s="32">
        <f t="shared" si="256"/>
        <v>470.61906971806849</v>
      </c>
      <c r="AO464" s="32">
        <f t="shared" si="257"/>
        <v>1.5686714644234969</v>
      </c>
      <c r="AP464" s="61" t="str">
        <f t="shared" si="258"/>
        <v>-0.000299280910690235+0.00682961153119963i</v>
      </c>
      <c r="AQ464" s="52">
        <f t="shared" si="259"/>
        <v>-43.303748265090277</v>
      </c>
      <c r="AR464" s="64">
        <f t="shared" si="260"/>
        <v>92.509157301743315</v>
      </c>
      <c r="AS464" s="61" t="str">
        <f t="shared" si="261"/>
        <v>-0.0032044215862855+0.000934020565546515i</v>
      </c>
      <c r="AT464" s="67">
        <f t="shared" si="262"/>
        <v>-49.530870479691259</v>
      </c>
      <c r="AU464" s="64">
        <f t="shared" si="263"/>
        <v>163.74972234327061</v>
      </c>
    </row>
    <row r="465" spans="14:47" x14ac:dyDescent="0.25">
      <c r="N465" s="11">
        <v>47</v>
      </c>
      <c r="O465" s="53">
        <f t="shared" si="264"/>
        <v>295120.92266663886</v>
      </c>
      <c r="P465" s="51" t="str">
        <f t="shared" si="232"/>
        <v>122.692307692308</v>
      </c>
      <c r="Q465" s="18" t="str">
        <f t="shared" si="233"/>
        <v>1+1900.65693126882i</v>
      </c>
      <c r="R465" s="18">
        <f t="shared" si="241"/>
        <v>1900.6571943357403</v>
      </c>
      <c r="S465" s="18">
        <f t="shared" si="242"/>
        <v>1.5702701929664944</v>
      </c>
      <c r="T465" s="18" t="str">
        <f t="shared" si="234"/>
        <v>1+0.380131386253764i</v>
      </c>
      <c r="U465" s="18">
        <f t="shared" si="243"/>
        <v>1.0698130074060646</v>
      </c>
      <c r="V465" s="18">
        <f t="shared" si="244"/>
        <v>0.36326181291842768</v>
      </c>
      <c r="W465" s="32" t="str">
        <f t="shared" si="235"/>
        <v>1-18.0066268433047i</v>
      </c>
      <c r="X465" s="18">
        <f t="shared" si="245"/>
        <v>18.034373021372865</v>
      </c>
      <c r="Y465" s="18">
        <f t="shared" si="246"/>
        <v>-1.5153182043552655</v>
      </c>
      <c r="Z465" s="32" t="str">
        <f t="shared" si="236"/>
        <v>-1.84396274271373+1.92152493194759i</v>
      </c>
      <c r="AA465" s="18">
        <f t="shared" si="247"/>
        <v>2.6631666603148463</v>
      </c>
      <c r="AB465" s="18">
        <f t="shared" si="248"/>
        <v>2.3355992235933405</v>
      </c>
      <c r="AC465" s="69" t="str">
        <f t="shared" si="249"/>
        <v>0.158395067525672+0.440012189991664i</v>
      </c>
      <c r="AD465" s="67">
        <f t="shared" si="250"/>
        <v>-6.6015176353884932</v>
      </c>
      <c r="AE465" s="64">
        <f t="shared" si="251"/>
        <v>70.202198111493914</v>
      </c>
      <c r="AF465" s="32" t="str">
        <f t="shared" si="237"/>
        <v>-0.0000198412698412698</v>
      </c>
      <c r="AG465" s="32" t="str">
        <f t="shared" si="238"/>
        <v>0.0641587608018547i</v>
      </c>
      <c r="AH465" s="32">
        <f t="shared" si="252"/>
        <v>6.4158760801854703E-2</v>
      </c>
      <c r="AI465" s="32">
        <f t="shared" si="253"/>
        <v>1.5707963267948966</v>
      </c>
      <c r="AJ465" s="32" t="str">
        <f t="shared" si="239"/>
        <v>1+22.26960041144i</v>
      </c>
      <c r="AK465" s="32">
        <f t="shared" si="254"/>
        <v>22.292041236396646</v>
      </c>
      <c r="AL465" s="32">
        <f t="shared" si="255"/>
        <v>1.5259222085986957</v>
      </c>
      <c r="AM465" s="32" t="str">
        <f t="shared" si="240"/>
        <v>1+481.58010889739i</v>
      </c>
      <c r="AN465" s="32">
        <f t="shared" si="256"/>
        <v>481.58114714513272</v>
      </c>
      <c r="AO465" s="32">
        <f t="shared" si="257"/>
        <v>1.5687198320555014</v>
      </c>
      <c r="AP465" s="61" t="str">
        <f t="shared" si="258"/>
        <v>-0.000285838156720051+0.00667475422992076i</v>
      </c>
      <c r="AQ465" s="52">
        <f t="shared" si="259"/>
        <v>-43.503337289054294</v>
      </c>
      <c r="AR465" s="64">
        <f t="shared" si="260"/>
        <v>92.452123197265067</v>
      </c>
      <c r="AS465" s="61" t="str">
        <f t="shared" si="261"/>
        <v>-0.00298224858049864+0.000931475873643993i</v>
      </c>
      <c r="AT465" s="67">
        <f t="shared" si="262"/>
        <v>-50.10485492444279</v>
      </c>
      <c r="AU465" s="64">
        <f t="shared" si="263"/>
        <v>162.65432130875899</v>
      </c>
    </row>
    <row r="466" spans="14:47" x14ac:dyDescent="0.25">
      <c r="N466" s="11">
        <v>48</v>
      </c>
      <c r="O466" s="53">
        <f t="shared" si="264"/>
        <v>301995.17204020242</v>
      </c>
      <c r="P466" s="51" t="str">
        <f t="shared" si="232"/>
        <v>122.692307692308</v>
      </c>
      <c r="Q466" s="18" t="str">
        <f t="shared" si="233"/>
        <v>1+1944.92891849722i</v>
      </c>
      <c r="R466" s="18">
        <f t="shared" si="241"/>
        <v>1944.9291755760071</v>
      </c>
      <c r="S466" s="18">
        <f t="shared" si="242"/>
        <v>1.5702821692324427</v>
      </c>
      <c r="T466" s="18" t="str">
        <f t="shared" si="234"/>
        <v>1+0.388985783699445i</v>
      </c>
      <c r="U466" s="18">
        <f t="shared" si="243"/>
        <v>1.0729911182858278</v>
      </c>
      <c r="V466" s="18">
        <f t="shared" si="244"/>
        <v>0.37097545205936033</v>
      </c>
      <c r="W466" s="32" t="str">
        <f t="shared" si="235"/>
        <v>1-18.4260550633682i</v>
      </c>
      <c r="X466" s="18">
        <f t="shared" si="245"/>
        <v>18.45317060015099</v>
      </c>
      <c r="Y466" s="18">
        <f t="shared" si="246"/>
        <v>-1.516578538543462</v>
      </c>
      <c r="Z466" s="32" t="str">
        <f t="shared" si="236"/>
        <v>-1.97799457748869+1.96628299735472i</v>
      </c>
      <c r="AA466" s="18">
        <f t="shared" si="247"/>
        <v>2.7890377147433707</v>
      </c>
      <c r="AB466" s="18">
        <f t="shared" si="248"/>
        <v>2.3591637400723426</v>
      </c>
      <c r="AC466" s="69" t="str">
        <f t="shared" si="249"/>
        <v>0.158878074544985+0.418714178236403i</v>
      </c>
      <c r="AD466" s="67">
        <f t="shared" si="250"/>
        <v>-6.9774743838739637</v>
      </c>
      <c r="AE466" s="64">
        <f t="shared" si="251"/>
        <v>69.221111719189921</v>
      </c>
      <c r="AF466" s="32" t="str">
        <f t="shared" si="237"/>
        <v>-0.0000198412698412698</v>
      </c>
      <c r="AG466" s="32" t="str">
        <f t="shared" si="238"/>
        <v>0.0656532103219551i</v>
      </c>
      <c r="AH466" s="32">
        <f t="shared" si="252"/>
        <v>6.5653210321955105E-2</v>
      </c>
      <c r="AI466" s="32">
        <f t="shared" si="253"/>
        <v>1.5707963267948966</v>
      </c>
      <c r="AJ466" s="32" t="str">
        <f t="shared" si="239"/>
        <v>1+22.7883260419191i</v>
      </c>
      <c r="AK466" s="32">
        <f t="shared" si="254"/>
        <v>22.810256548158506</v>
      </c>
      <c r="AL466" s="32">
        <f t="shared" si="255"/>
        <v>1.5269423438966476</v>
      </c>
      <c r="AM466" s="32" t="str">
        <f t="shared" si="240"/>
        <v>1+492.797550656502i</v>
      </c>
      <c r="AN466" s="32">
        <f t="shared" si="256"/>
        <v>492.79856527089004</v>
      </c>
      <c r="AO466" s="32">
        <f t="shared" si="257"/>
        <v>1.5687670987151738</v>
      </c>
      <c r="AP466" s="61" t="str">
        <f t="shared" si="258"/>
        <v>-0.000272998045903658+0.00652338172546179i</v>
      </c>
      <c r="AQ466" s="52">
        <f t="shared" si="259"/>
        <v>-43.702944773522852</v>
      </c>
      <c r="AR466" s="64">
        <f t="shared" si="260"/>
        <v>92.396381930271005</v>
      </c>
      <c r="AS466" s="61" t="str">
        <f t="shared" si="261"/>
        <v>-0.00277480582238682+0.000922114175612617i</v>
      </c>
      <c r="AT466" s="67">
        <f t="shared" si="262"/>
        <v>-50.680419157396813</v>
      </c>
      <c r="AU466" s="64">
        <f t="shared" si="263"/>
        <v>161.61749364946095</v>
      </c>
    </row>
    <row r="467" spans="14:47" x14ac:dyDescent="0.25">
      <c r="N467" s="11">
        <v>49</v>
      </c>
      <c r="O467" s="53">
        <f t="shared" si="264"/>
        <v>309029.54325135931</v>
      </c>
      <c r="P467" s="51" t="str">
        <f t="shared" ref="P467:P530" si="265">COMPLEX(Adc,0)</f>
        <v>122.692307692308</v>
      </c>
      <c r="Q467" s="18" t="str">
        <f t="shared" ref="Q467:Q530" si="266">IMSUM(COMPLEX(1,0),IMDIV(COMPLEX(0,2*PI()*O467),COMPLEX(wp_lf,0)))</f>
        <v>1+1990.23213278239i</v>
      </c>
      <c r="R467" s="18">
        <f t="shared" si="241"/>
        <v>1990.2323840093502</v>
      </c>
      <c r="S467" s="18">
        <f t="shared" si="242"/>
        <v>1.5702938728854381</v>
      </c>
      <c r="T467" s="18" t="str">
        <f t="shared" ref="T467:T530" si="267">IMSUM(COMPLEX(1,0),IMDIV(COMPLEX(0,2*PI()*O467),COMPLEX(wz_esr,0)))</f>
        <v>1+0.398046426556479i</v>
      </c>
      <c r="U467" s="18">
        <f t="shared" si="243"/>
        <v>1.0763089508567614</v>
      </c>
      <c r="V467" s="18">
        <f t="shared" si="244"/>
        <v>0.37882112840810417</v>
      </c>
      <c r="W467" s="32" t="str">
        <f t="shared" ref="W467:W530" si="268">IMSUB(COMPLEX(1,0),IMDIV(COMPLEX(0,2*PI()*O467),COMPLEX(wz_rhp,0)))</f>
        <v>1-18.855253021724i</v>
      </c>
      <c r="X467" s="18">
        <f t="shared" si="245"/>
        <v>18.881752209825024</v>
      </c>
      <c r="Y467" s="18">
        <f t="shared" si="246"/>
        <v>-1.517810350645223</v>
      </c>
      <c r="Z467" s="32" t="str">
        <f t="shared" ref="Z467:Z530" si="269">IMSUM(COMPLEX(1,0),IMDIV(COMPLEX(0,2*PI()*O467),COMPLEX(Q*(wsl/2),0)),IMDIV(IMPOWER(COMPLEX(0,2*PI()*O467),2),IMPOWER(COMPLEX(wsl/2,0),2)))</f>
        <v>-2.11834313802918+2.01208361203388i</v>
      </c>
      <c r="AA467" s="18">
        <f t="shared" si="247"/>
        <v>2.921619090889608</v>
      </c>
      <c r="AB467" s="18">
        <f t="shared" si="248"/>
        <v>2.381914857564472</v>
      </c>
      <c r="AC467" s="69" t="str">
        <f t="shared" si="249"/>
        <v>0.158581569891757+0.398413777386432i</v>
      </c>
      <c r="AD467" s="67">
        <f t="shared" si="250"/>
        <v>-7.3546160242814116</v>
      </c>
      <c r="AE467" s="64">
        <f t="shared" si="251"/>
        <v>68.29584464538793</v>
      </c>
      <c r="AF467" s="32" t="str">
        <f t="shared" ref="AF467:AF530" si="270">COMPLEX(Adc_ea,0)</f>
        <v>-0.0000198412698412698</v>
      </c>
      <c r="AG467" s="32" t="str">
        <f t="shared" ref="AG467:AG530" si="271">COMPLEX(0,2*PI()*O467*wp0_ea)</f>
        <v>0.067182470043191i</v>
      </c>
      <c r="AH467" s="32">
        <f t="shared" si="252"/>
        <v>6.7182470043191E-2</v>
      </c>
      <c r="AI467" s="32">
        <f t="shared" si="253"/>
        <v>1.5707963267948966</v>
      </c>
      <c r="AJ467" s="32" t="str">
        <f t="shared" ref="AJ467:AJ530" si="272">IMSUM(COMPLEX(1,0),IMDIV(COMPLEX(0,2*PI()*O467),COMPLEX(wp1_ea,0)))</f>
        <v>1+23.3191343445049i</v>
      </c>
      <c r="AK467" s="32">
        <f t="shared" si="254"/>
        <v>23.340566115179556</v>
      </c>
      <c r="AL467" s="32">
        <f t="shared" si="255"/>
        <v>1.5279393463428355</v>
      </c>
      <c r="AM467" s="32" t="str">
        <f t="shared" ref="AM467:AM530" si="273">IMSUM(COMPLEX(1,0),IMDIV(COMPLEX(0,2*PI()*O467),COMPLEX(wz_ea,0)))</f>
        <v>1+504.276280199918i</v>
      </c>
      <c r="AN467" s="32">
        <f t="shared" si="256"/>
        <v>504.27727171890888</v>
      </c>
      <c r="AO467" s="32">
        <f t="shared" si="257"/>
        <v>1.5688132894630775</v>
      </c>
      <c r="AP467" s="61" t="str">
        <f t="shared" si="258"/>
        <v>-0.000260733663693595+0.00637541736505169i</v>
      </c>
      <c r="AQ467" s="52">
        <f t="shared" si="259"/>
        <v>-43.902569890838819</v>
      </c>
      <c r="AR467" s="64">
        <f t="shared" si="260"/>
        <v>92.341904432847656</v>
      </c>
      <c r="AS467" s="61" t="str">
        <f t="shared" si="261"/>
        <v>-0.00258140166853746+0.000907143810621097i</v>
      </c>
      <c r="AT467" s="67">
        <f t="shared" si="262"/>
        <v>-51.257185915120225</v>
      </c>
      <c r="AU467" s="64">
        <f t="shared" si="263"/>
        <v>160.6377490782356</v>
      </c>
    </row>
    <row r="468" spans="14:47" x14ac:dyDescent="0.25">
      <c r="N468" s="11">
        <v>50</v>
      </c>
      <c r="O468" s="53">
        <f t="shared" si="264"/>
        <v>316227.7660168382</v>
      </c>
      <c r="P468" s="51" t="str">
        <f t="shared" si="265"/>
        <v>122.692307692308</v>
      </c>
      <c r="Q468" s="18" t="str">
        <f t="shared" si="266"/>
        <v>1+2036.5905944882i</v>
      </c>
      <c r="R468" s="18">
        <f t="shared" ref="R468:R531" si="274">IMABS(Q468)</f>
        <v>2036.5908399965369</v>
      </c>
      <c r="S468" s="18">
        <f t="shared" ref="S468:S531" si="275">IMARGUMENT(Q468)</f>
        <v>1.5703053101308992</v>
      </c>
      <c r="T468" s="18" t="str">
        <f t="shared" si="267"/>
        <v>1+0.407318118897641i</v>
      </c>
      <c r="U468" s="18">
        <f t="shared" ref="U468:U531" si="276">IMABS(T468)</f>
        <v>1.0797722213422203</v>
      </c>
      <c r="V468" s="18">
        <f t="shared" ref="V468:V531" si="277">IMARGUMENT(T468)</f>
        <v>0.38679913731419918</v>
      </c>
      <c r="W468" s="32" t="str">
        <f t="shared" si="268"/>
        <v>1-19.2944482848107i</v>
      </c>
      <c r="X468" s="18">
        <f t="shared" ref="X468:X531" si="278">IMABS(W468)</f>
        <v>19.320345095655888</v>
      </c>
      <c r="Y468" s="18">
        <f t="shared" ref="Y468:Y531" si="279">IMARGUMENT(W468)</f>
        <v>-1.5190142788223226</v>
      </c>
      <c r="Z468" s="32" t="str">
        <f t="shared" si="269"/>
        <v>-2.26530612244897+2.05895106007721i</v>
      </c>
      <c r="AA468" s="18">
        <f t="shared" ref="AA468:AA531" si="280">IMABS(Z468)</f>
        <v>3.0611911564287935</v>
      </c>
      <c r="AB468" s="18">
        <f t="shared" ref="AB468:AB531" si="281">IMARGUMENT(Z468)</f>
        <v>2.4038786652800157</v>
      </c>
      <c r="AC468" s="69" t="str">
        <f t="shared" ref="AC468:AC531" si="282">(IMDIV(IMPRODUCT(P468,T468,W468),IMPRODUCT(Q468,Z468)))</f>
        <v>0.157609307330006+0.379095990184625i</v>
      </c>
      <c r="AD468" s="67">
        <f t="shared" ref="AD468:AD531" si="283">20*LOG(IMABS(AC468))</f>
        <v>-7.7325974233457293</v>
      </c>
      <c r="AE468" s="64">
        <f t="shared" ref="AE468:AE531" si="284">(180/PI())*IMARGUMENT(AC468)</f>
        <v>67.424882091208445</v>
      </c>
      <c r="AF468" s="32" t="str">
        <f t="shared" si="270"/>
        <v>-0.0000198412698412698</v>
      </c>
      <c r="AG468" s="32" t="str">
        <f t="shared" si="271"/>
        <v>0.0687473507993091i</v>
      </c>
      <c r="AH468" s="32">
        <f t="shared" ref="AH468:AH531" si="285">IMABS(AG468)</f>
        <v>6.8747350799309104E-2</v>
      </c>
      <c r="AI468" s="32">
        <f t="shared" ref="AI468:AI531" si="286">IMARGUMENT(AG468)</f>
        <v>1.5707963267948966</v>
      </c>
      <c r="AJ468" s="32" t="str">
        <f t="shared" si="272"/>
        <v>1+23.8623067607852i</v>
      </c>
      <c r="AK468" s="32">
        <f t="shared" ref="AK468:AK531" si="287">IMABS(AJ468)</f>
        <v>23.883251117588973</v>
      </c>
      <c r="AL468" s="32">
        <f t="shared" ref="AL468:AL531" si="288">IMARGUMENT(AJ468)</f>
        <v>1.5289137366283632</v>
      </c>
      <c r="AM468" s="32" t="str">
        <f t="shared" si="273"/>
        <v>1+516.022383701981i</v>
      </c>
      <c r="AN468" s="32">
        <f t="shared" ref="AN468:AN531" si="289">IMABS(AM468)</f>
        <v>516.02335265128693</v>
      </c>
      <c r="AO468" s="32">
        <f t="shared" ref="AO468:AO531" si="290">IMARGUMENT(AM468)</f>
        <v>1.5688584287893694</v>
      </c>
      <c r="AP468" s="61" t="str">
        <f t="shared" ref="AP468:AP531" si="291">IMPRODUCT(AF468,IMDIV(AM468,IMPRODUCT(AG468,AJ468)))</f>
        <v>-0.000249019288594954+0.0062307860637081i</v>
      </c>
      <c r="AQ468" s="52">
        <f t="shared" ref="AQ468:AQ531" si="292">20*LOG(IMABS(AP468))</f>
        <v>-44.102211850314646</v>
      </c>
      <c r="AR468" s="64">
        <f t="shared" ref="AR468:AR531" si="293">(180/PI())*IMARGUMENT(AP468)</f>
        <v>92.28866227477495</v>
      </c>
      <c r="AS468" s="61" t="str">
        <f t="shared" ref="AS468:AS531" si="294">IMPRODUCT(AC468,AP468)</f>
        <v>-0.00240131377003725+0.000887627661837513i</v>
      </c>
      <c r="AT468" s="67">
        <f t="shared" ref="AT468:AT531" si="295">20*LOG(IMABS(AS468))</f>
        <v>-51.834809273660369</v>
      </c>
      <c r="AU468" s="64">
        <f t="shared" ref="AU468:AU531" si="296">(180/PI())*IMARGUMENT(AS468)</f>
        <v>159.71354436598344</v>
      </c>
    </row>
    <row r="469" spans="14:47" x14ac:dyDescent="0.25">
      <c r="N469" s="11">
        <v>51</v>
      </c>
      <c r="O469" s="53">
        <f t="shared" si="264"/>
        <v>323593.65692962846</v>
      </c>
      <c r="P469" s="51" t="str">
        <f t="shared" si="265"/>
        <v>122.692307692308</v>
      </c>
      <c r="Q469" s="18" t="str">
        <f t="shared" si="266"/>
        <v>1+2084.02888348467i</v>
      </c>
      <c r="R469" s="18">
        <f t="shared" si="274"/>
        <v>2084.0291234045558</v>
      </c>
      <c r="S469" s="18">
        <f t="shared" si="275"/>
        <v>1.5703164870329931</v>
      </c>
      <c r="T469" s="18" t="str">
        <f t="shared" si="267"/>
        <v>1+0.416805776696934i</v>
      </c>
      <c r="U469" s="18">
        <f t="shared" si="276"/>
        <v>1.0833868448010315</v>
      </c>
      <c r="V469" s="18">
        <f t="shared" si="277"/>
        <v>0.39490964546885793</v>
      </c>
      <c r="W469" s="32" t="str">
        <f t="shared" si="268"/>
        <v>1-19.7438737197702i</v>
      </c>
      <c r="X469" s="18">
        <f t="shared" si="278"/>
        <v>19.769181810642348</v>
      </c>
      <c r="Y469" s="18">
        <f t="shared" si="279"/>
        <v>-1.5201909474452953</v>
      </c>
      <c r="Z469" s="32" t="str">
        <f t="shared" si="269"/>
        <v>-2.4191952589417+2.10691019122604i</v>
      </c>
      <c r="AA469" s="18">
        <f t="shared" si="280"/>
        <v>3.2080486677695754</v>
      </c>
      <c r="AB469" s="18">
        <f t="shared" si="281"/>
        <v>2.425081734826585</v>
      </c>
      <c r="AC469" s="69" t="str">
        <f t="shared" si="282"/>
        <v>0.156055894603822+0.360739193450085i</v>
      </c>
      <c r="AD469" s="67">
        <f t="shared" si="283"/>
        <v>-8.1111028702595185</v>
      </c>
      <c r="AE469" s="64">
        <f t="shared" si="284"/>
        <v>66.606675045136313</v>
      </c>
      <c r="AF469" s="32" t="str">
        <f t="shared" si="270"/>
        <v>-0.0000198412698412698</v>
      </c>
      <c r="AG469" s="32" t="str">
        <f t="shared" si="271"/>
        <v>0.0703486823107997i</v>
      </c>
      <c r="AH469" s="32">
        <f t="shared" si="285"/>
        <v>7.0348682310799701E-2</v>
      </c>
      <c r="AI469" s="32">
        <f t="shared" si="286"/>
        <v>1.5707963267948966</v>
      </c>
      <c r="AJ469" s="32" t="str">
        <f t="shared" si="272"/>
        <v>1+24.4181312879652i</v>
      </c>
      <c r="AK469" s="32">
        <f t="shared" si="287"/>
        <v>24.438599296938133</v>
      </c>
      <c r="AL469" s="32">
        <f t="shared" si="288"/>
        <v>1.5298660239826685</v>
      </c>
      <c r="AM469" s="32" t="str">
        <f t="shared" si="273"/>
        <v>1+528.042089102247i</v>
      </c>
      <c r="AN469" s="32">
        <f t="shared" si="289"/>
        <v>528.0430359956141</v>
      </c>
      <c r="AO469" s="32">
        <f t="shared" si="290"/>
        <v>1.5689025406267816</v>
      </c>
      <c r="AP469" s="61" t="str">
        <f t="shared" si="291"/>
        <v>-0.00023783034006973+0.00608941428023358i</v>
      </c>
      <c r="AQ469" s="52">
        <f t="shared" si="292"/>
        <v>-44.301869896593388</v>
      </c>
      <c r="AR469" s="64">
        <f t="shared" si="293"/>
        <v>92.236627650599885</v>
      </c>
      <c r="AS469" s="61" t="str">
        <f t="shared" si="294"/>
        <v>-0.0022338052225184+0.000864494268060426i</v>
      </c>
      <c r="AT469" s="67">
        <f t="shared" si="295"/>
        <v>-52.41297276685291</v>
      </c>
      <c r="AU469" s="64">
        <f t="shared" si="296"/>
        <v>158.84330269573618</v>
      </c>
    </row>
    <row r="470" spans="14:47" x14ac:dyDescent="0.25">
      <c r="N470" s="11">
        <v>52</v>
      </c>
      <c r="O470" s="53">
        <f t="shared" si="264"/>
        <v>331131.12148259126</v>
      </c>
      <c r="P470" s="51" t="str">
        <f t="shared" si="265"/>
        <v>122.692307692308</v>
      </c>
      <c r="Q470" s="18" t="str">
        <f t="shared" si="266"/>
        <v>1+2132.57215218055i</v>
      </c>
      <c r="R470" s="18">
        <f t="shared" si="274"/>
        <v>2132.5723866391927</v>
      </c>
      <c r="S470" s="18">
        <f t="shared" si="275"/>
        <v>1.5703274095178501</v>
      </c>
      <c r="T470" s="18" t="str">
        <f t="shared" si="267"/>
        <v>1+0.426514430436111i</v>
      </c>
      <c r="U470" s="18">
        <f t="shared" si="276"/>
        <v>1.08715893933235</v>
      </c>
      <c r="V470" s="18">
        <f t="shared" si="277"/>
        <v>0.40315268402736959</v>
      </c>
      <c r="W470" s="32" t="str">
        <f t="shared" si="268"/>
        <v>1-20.203767617917i</v>
      </c>
      <c r="X470" s="18">
        <f t="shared" si="278"/>
        <v>20.228500338848441</v>
      </c>
      <c r="Y470" s="18">
        <f t="shared" si="279"/>
        <v>-1.5213409673587786</v>
      </c>
      <c r="Z470" s="32" t="str">
        <f t="shared" si="269"/>
        <v>-2.58033696699816+2.15598643404652i</v>
      </c>
      <c r="AA470" s="18">
        <f t="shared" si="280"/>
        <v>3.3625015043936997</v>
      </c>
      <c r="AB470" s="18">
        <f t="shared" si="281"/>
        <v>2.4455508281623639</v>
      </c>
      <c r="AC470" s="69" t="str">
        <f t="shared" si="282"/>
        <v>0.154007066995613+0.343316593646467i</v>
      </c>
      <c r="AD470" s="67">
        <f t="shared" si="283"/>
        <v>-8.4898441075751503</v>
      </c>
      <c r="AE470" s="64">
        <f t="shared" si="284"/>
        <v>65.839656606620537</v>
      </c>
      <c r="AF470" s="32" t="str">
        <f t="shared" si="270"/>
        <v>-0.0000198412698412698</v>
      </c>
      <c r="AG470" s="32" t="str">
        <f t="shared" si="271"/>
        <v>0.0719873136248264i</v>
      </c>
      <c r="AH470" s="32">
        <f t="shared" si="285"/>
        <v>7.1987313624826396E-2</v>
      </c>
      <c r="AI470" s="32">
        <f t="shared" si="286"/>
        <v>1.5707963267948966</v>
      </c>
      <c r="AJ470" s="32" t="str">
        <f t="shared" si="272"/>
        <v>1+24.9869026315663i</v>
      </c>
      <c r="AK470" s="32">
        <f t="shared" si="287"/>
        <v>25.006905108776952</v>
      </c>
      <c r="AL470" s="32">
        <f t="shared" si="288"/>
        <v>1.5307967064085104</v>
      </c>
      <c r="AM470" s="32" t="str">
        <f t="shared" si="273"/>
        <v>1+540.341769407621i</v>
      </c>
      <c r="AN470" s="32">
        <f t="shared" si="289"/>
        <v>540.34269474710084</v>
      </c>
      <c r="AO470" s="32">
        <f t="shared" si="290"/>
        <v>1.5689456483633073</v>
      </c>
      <c r="AP470" s="61" t="str">
        <f t="shared" si="291"/>
        <v>-0.000227143328646295+0.00595122999299318i</v>
      </c>
      <c r="AQ470" s="52">
        <f t="shared" si="292"/>
        <v>-44.501543308080755</v>
      </c>
      <c r="AR470" s="64">
        <f t="shared" si="293"/>
        <v>92.185773366899411</v>
      </c>
      <c r="AS470" s="61" t="str">
        <f t="shared" si="294"/>
        <v>-0.00207813768703354+0.000838549402376836i</v>
      </c>
      <c r="AT470" s="67">
        <f t="shared" si="295"/>
        <v>-52.991387415655915</v>
      </c>
      <c r="AU470" s="64">
        <f t="shared" si="296"/>
        <v>158.02542997351995</v>
      </c>
    </row>
    <row r="471" spans="14:47" x14ac:dyDescent="0.25">
      <c r="N471" s="11">
        <v>53</v>
      </c>
      <c r="O471" s="53">
        <f t="shared" si="264"/>
        <v>338844.15613920329</v>
      </c>
      <c r="P471" s="51" t="str">
        <f t="shared" si="265"/>
        <v>122.692307692308</v>
      </c>
      <c r="Q471" s="18" t="str">
        <f t="shared" si="266"/>
        <v>1+2182.24613885945i</v>
      </c>
      <c r="R471" s="18">
        <f t="shared" si="274"/>
        <v>2182.2463679811631</v>
      </c>
      <c r="S471" s="18">
        <f t="shared" si="275"/>
        <v>1.570338083376706</v>
      </c>
      <c r="T471" s="18" t="str">
        <f t="shared" si="267"/>
        <v>1+0.43644922777189i</v>
      </c>
      <c r="U471" s="18">
        <f t="shared" si="276"/>
        <v>1.0910948301695316</v>
      </c>
      <c r="V471" s="18">
        <f t="shared" si="277"/>
        <v>0.41152814174372182</v>
      </c>
      <c r="W471" s="32" t="str">
        <f t="shared" si="268"/>
        <v>1-20.6743738210833i</v>
      </c>
      <c r="X471" s="18">
        <f t="shared" si="278"/>
        <v>20.698544221608785</v>
      </c>
      <c r="Y471" s="18">
        <f t="shared" si="279"/>
        <v>-1.5224649361440117</v>
      </c>
      <c r="Z471" s="32" t="str">
        <f t="shared" si="269"/>
        <v>-2.74907304978576+2.20620580941218i</v>
      </c>
      <c r="AA471" s="18">
        <f t="shared" si="280"/>
        <v>3.5248754171661774</v>
      </c>
      <c r="AB471" s="18">
        <f t="shared" si="281"/>
        <v>2.465312653749975</v>
      </c>
      <c r="AC471" s="69" t="str">
        <f t="shared" si="282"/>
        <v>0.151540081536456+0.326797488661519i</v>
      </c>
      <c r="AD471" s="67">
        <f t="shared" si="283"/>
        <v>-8.8685583328394344</v>
      </c>
      <c r="AE471" s="64">
        <f t="shared" si="284"/>
        <v>65.122255548851953</v>
      </c>
      <c r="AF471" s="32" t="str">
        <f t="shared" si="270"/>
        <v>-0.0000198412698412698</v>
      </c>
      <c r="AG471" s="32" t="str">
        <f t="shared" si="271"/>
        <v>0.0736641135654018i</v>
      </c>
      <c r="AH471" s="32">
        <f t="shared" si="285"/>
        <v>7.3664113565401798E-2</v>
      </c>
      <c r="AI471" s="32">
        <f t="shared" si="286"/>
        <v>1.5707963267948966</v>
      </c>
      <c r="AJ471" s="32" t="str">
        <f t="shared" si="272"/>
        <v>1+25.5689223616833i</v>
      </c>
      <c r="AK471" s="32">
        <f t="shared" si="287"/>
        <v>25.588469878790882</v>
      </c>
      <c r="AL471" s="32">
        <f t="shared" si="288"/>
        <v>1.5317062709133207</v>
      </c>
      <c r="AM471" s="32" t="str">
        <f t="shared" si="273"/>
        <v>1+552.927946071402i</v>
      </c>
      <c r="AN471" s="32">
        <f t="shared" si="289"/>
        <v>552.92885034761855</v>
      </c>
      <c r="AO471" s="32">
        <f t="shared" si="290"/>
        <v>1.5689877748545975</v>
      </c>
      <c r="AP471" s="61" t="str">
        <f t="shared" si="291"/>
        <v>-0.000216935808146873+0.00581616267552727i</v>
      </c>
      <c r="AQ471" s="52">
        <f t="shared" si="292"/>
        <v>-44.701231395446172</v>
      </c>
      <c r="AR471" s="64">
        <f t="shared" si="293"/>
        <v>92.136072829735511</v>
      </c>
      <c r="AS471" s="61" t="str">
        <f t="shared" si="294"/>
        <v>-0.00193358182606393+0.00081048768877554i</v>
      </c>
      <c r="AT471" s="67">
        <f t="shared" si="295"/>
        <v>-53.569789728285585</v>
      </c>
      <c r="AU471" s="64">
        <f t="shared" si="296"/>
        <v>157.25832837858746</v>
      </c>
    </row>
    <row r="472" spans="14:47" x14ac:dyDescent="0.25">
      <c r="N472" s="11">
        <v>54</v>
      </c>
      <c r="O472" s="53">
        <f t="shared" si="264"/>
        <v>346736.85045253241</v>
      </c>
      <c r="P472" s="51" t="str">
        <f t="shared" si="265"/>
        <v>122.692307692308</v>
      </c>
      <c r="Q472" s="18" t="str">
        <f t="shared" si="266"/>
        <v>1+2233.07718132661i</v>
      </c>
      <c r="R472" s="18">
        <f t="shared" si="274"/>
        <v>2233.077405232877</v>
      </c>
      <c r="S472" s="18">
        <f t="shared" si="275"/>
        <v>1.5703485142689719</v>
      </c>
      <c r="T472" s="18" t="str">
        <f t="shared" si="267"/>
        <v>1+0.446615436265322i</v>
      </c>
      <c r="U472" s="18">
        <f t="shared" si="276"/>
        <v>1.0952010536474406</v>
      </c>
      <c r="V472" s="18">
        <f t="shared" si="277"/>
        <v>0.42003575815319927</v>
      </c>
      <c r="W472" s="32" t="str">
        <f t="shared" si="268"/>
        <v>1-21.1559418509073i</v>
      </c>
      <c r="X472" s="18">
        <f t="shared" si="278"/>
        <v>21.17956268667913</v>
      </c>
      <c r="Y472" s="18">
        <f t="shared" si="279"/>
        <v>-1.523563438378337</v>
      </c>
      <c r="Z472" s="32" t="str">
        <f t="shared" si="269"/>
        <v>-2.92576141915892+2.25759494430057i</v>
      </c>
      <c r="AA472" s="18">
        <f t="shared" si="280"/>
        <v>3.6955127945077275</v>
      </c>
      <c r="AB472" s="18">
        <f t="shared" si="281"/>
        <v>2.4843936658405323</v>
      </c>
      <c r="AC472" s="69" t="str">
        <f t="shared" si="282"/>
        <v>0.148724193259727+0.311148347249778i</v>
      </c>
      <c r="AD472" s="67">
        <f t="shared" si="283"/>
        <v>-9.2470062177637864</v>
      </c>
      <c r="AE472" s="64">
        <f t="shared" si="284"/>
        <v>64.452907413288401</v>
      </c>
      <c r="AF472" s="32" t="str">
        <f t="shared" si="270"/>
        <v>-0.0000198412698412698</v>
      </c>
      <c r="AG472" s="32" t="str">
        <f t="shared" si="271"/>
        <v>0.0753799711940493i</v>
      </c>
      <c r="AH472" s="32">
        <f t="shared" si="285"/>
        <v>7.5379971194049294E-2</v>
      </c>
      <c r="AI472" s="32">
        <f t="shared" si="286"/>
        <v>1.5707963267948966</v>
      </c>
      <c r="AJ472" s="32" t="str">
        <f t="shared" si="272"/>
        <v>1+26.1644990728812i</v>
      </c>
      <c r="AK472" s="32">
        <f t="shared" si="287"/>
        <v>26.183601962579576</v>
      </c>
      <c r="AL472" s="32">
        <f t="shared" si="288"/>
        <v>1.5325951937368891</v>
      </c>
      <c r="AM472" s="32" t="str">
        <f t="shared" si="273"/>
        <v>1+565.807292451057i</v>
      </c>
      <c r="AN472" s="32">
        <f t="shared" si="289"/>
        <v>565.80817614346654</v>
      </c>
      <c r="AO472" s="32">
        <f t="shared" si="290"/>
        <v>1.5690289424360773</v>
      </c>
      <c r="AP472" s="61" t="str">
        <f t="shared" si="291"/>
        <v>-0.000207186329948716+0.00568414327204997i</v>
      </c>
      <c r="AQ472" s="52">
        <f t="shared" si="292"/>
        <v>-44.900933500189367</v>
      </c>
      <c r="AR472" s="64">
        <f t="shared" si="293"/>
        <v>92.087500032303723</v>
      </c>
      <c r="AS472" s="61" t="str">
        <f t="shared" si="294"/>
        <v>-0.00179942540440536+0.000780903938372047i</v>
      </c>
      <c r="AT472" s="67">
        <f t="shared" si="295"/>
        <v>-54.14793971795315</v>
      </c>
      <c r="AU472" s="64">
        <f t="shared" si="296"/>
        <v>156.54040744559211</v>
      </c>
    </row>
    <row r="473" spans="14:47" x14ac:dyDescent="0.25">
      <c r="N473" s="11">
        <v>55</v>
      </c>
      <c r="O473" s="53">
        <f t="shared" si="264"/>
        <v>354813.38923357555</v>
      </c>
      <c r="P473" s="51" t="str">
        <f t="shared" si="265"/>
        <v>122.692307692308</v>
      </c>
      <c r="Q473" s="18" t="str">
        <f t="shared" si="266"/>
        <v>1+2285.09223087356i</v>
      </c>
      <c r="R473" s="18">
        <f t="shared" si="274"/>
        <v>2285.092449683098</v>
      </c>
      <c r="S473" s="18">
        <f t="shared" si="275"/>
        <v>1.5703587077252361</v>
      </c>
      <c r="T473" s="18" t="str">
        <f t="shared" si="267"/>
        <v>1+0.457018446174713i</v>
      </c>
      <c r="U473" s="18">
        <f t="shared" si="276"/>
        <v>1.0994843610274541</v>
      </c>
      <c r="V473" s="18">
        <f t="shared" si="277"/>
        <v>0.42867511684153631</v>
      </c>
      <c r="W473" s="32" t="str">
        <f t="shared" si="268"/>
        <v>1-21.6487270411324i</v>
      </c>
      <c r="X473" s="18">
        <f t="shared" si="278"/>
        <v>21.671810780399898</v>
      </c>
      <c r="Y473" s="18">
        <f t="shared" si="279"/>
        <v>-1.5246370458915868</v>
      </c>
      <c r="Z473" s="32" t="str">
        <f t="shared" si="269"/>
        <v>-3.11077685483807+2.31018108591122i</v>
      </c>
      <c r="AA473" s="18">
        <f t="shared" si="280"/>
        <v>3.8747734501901112</v>
      </c>
      <c r="AB473" s="18">
        <f t="shared" si="281"/>
        <v>2.5028199018678765</v>
      </c>
      <c r="AC473" s="69" t="str">
        <f t="shared" si="282"/>
        <v>0.145621182161734+0.296333720843635i</v>
      </c>
      <c r="AD473" s="67">
        <f t="shared" si="283"/>
        <v>-9.6249699805067088</v>
      </c>
      <c r="AE473" s="64">
        <f t="shared" si="284"/>
        <v>63.830063425765694</v>
      </c>
      <c r="AF473" s="32" t="str">
        <f t="shared" si="270"/>
        <v>-0.0000198412698412698</v>
      </c>
      <c r="AG473" s="32" t="str">
        <f t="shared" si="271"/>
        <v>0.0771357962811956i</v>
      </c>
      <c r="AH473" s="32">
        <f t="shared" si="285"/>
        <v>7.7135796281195601E-2</v>
      </c>
      <c r="AI473" s="32">
        <f t="shared" si="286"/>
        <v>1.5707963267948966</v>
      </c>
      <c r="AJ473" s="32" t="str">
        <f t="shared" si="272"/>
        <v>1+26.7739485478155i</v>
      </c>
      <c r="AK473" s="32">
        <f t="shared" si="287"/>
        <v>26.792616909161218</v>
      </c>
      <c r="AL473" s="32">
        <f t="shared" si="288"/>
        <v>1.5334639405753576</v>
      </c>
      <c r="AM473" s="32" t="str">
        <f t="shared" si="273"/>
        <v>1+578.986637346511i</v>
      </c>
      <c r="AN473" s="32">
        <f t="shared" si="289"/>
        <v>578.98750092365572</v>
      </c>
      <c r="AO473" s="32">
        <f t="shared" si="290"/>
        <v>1.5690691729347845</v>
      </c>
      <c r="AP473" s="61" t="str">
        <f t="shared" si="291"/>
        <v>-0.000197874399197634+0.00555510417287931i</v>
      </c>
      <c r="AQ473" s="52">
        <f t="shared" si="292"/>
        <v>-45.100648993269843</v>
      </c>
      <c r="AR473" s="64">
        <f t="shared" si="293"/>
        <v>92.040029542777788</v>
      </c>
      <c r="AS473" s="61" t="str">
        <f t="shared" si="294"/>
        <v>-0.00167497939315403+0.000750303979712333i</v>
      </c>
      <c r="AT473" s="67">
        <f t="shared" si="295"/>
        <v>-54.725618973776562</v>
      </c>
      <c r="AU473" s="64">
        <f t="shared" si="296"/>
        <v>155.87009296854345</v>
      </c>
    </row>
    <row r="474" spans="14:47" x14ac:dyDescent="0.25">
      <c r="N474" s="11">
        <v>56</v>
      </c>
      <c r="O474" s="53">
        <f t="shared" si="264"/>
        <v>363078.05477010203</v>
      </c>
      <c r="P474" s="51" t="str">
        <f t="shared" si="265"/>
        <v>122.692307692308</v>
      </c>
      <c r="Q474" s="18" t="str">
        <f t="shared" si="266"/>
        <v>1+2338.31886656812i</v>
      </c>
      <c r="R474" s="18">
        <f t="shared" si="274"/>
        <v>2338.319080396946</v>
      </c>
      <c r="S474" s="18">
        <f t="shared" si="275"/>
        <v>1.5703686691501957</v>
      </c>
      <c r="T474" s="18" t="str">
        <f t="shared" si="267"/>
        <v>1+0.467663773313625i</v>
      </c>
      <c r="U474" s="18">
        <f t="shared" si="276"/>
        <v>1.1039517221644874</v>
      </c>
      <c r="V474" s="18">
        <f t="shared" si="277"/>
        <v>0.43744563884210164</v>
      </c>
      <c r="W474" s="32" t="str">
        <f t="shared" si="268"/>
        <v>1-22.1529906729897i</v>
      </c>
      <c r="X474" s="18">
        <f t="shared" si="278"/>
        <v>22.175549502945096</v>
      </c>
      <c r="Y474" s="18">
        <f t="shared" si="279"/>
        <v>-1.5256863180192415</v>
      </c>
      <c r="Z474" s="32" t="str">
        <f t="shared" si="269"/>
        <v>-3.30451179936787+2.3639921161125i</v>
      </c>
      <c r="AA474" s="18">
        <f t="shared" si="280"/>
        <v>4.0630354363706367</v>
      </c>
      <c r="AB474" s="18">
        <f t="shared" si="281"/>
        <v>2.5206168531390736</v>
      </c>
      <c r="AC474" s="69" t="str">
        <f t="shared" si="282"/>
        <v>0.142285906037507+0.282317004129608i</v>
      </c>
      <c r="AD474" s="67">
        <f t="shared" si="283"/>
        <v>-10.002251537151757</v>
      </c>
      <c r="AE474" s="64">
        <f t="shared" si="284"/>
        <v>63.252197512401892</v>
      </c>
      <c r="AF474" s="32" t="str">
        <f t="shared" si="270"/>
        <v>-0.0000198412698412698</v>
      </c>
      <c r="AG474" s="32" t="str">
        <f t="shared" si="271"/>
        <v>0.0789325197885434i</v>
      </c>
      <c r="AH474" s="32">
        <f t="shared" si="285"/>
        <v>7.8932519788543404E-2</v>
      </c>
      <c r="AI474" s="32">
        <f t="shared" si="286"/>
        <v>1.5707963267948966</v>
      </c>
      <c r="AJ474" s="32" t="str">
        <f t="shared" si="272"/>
        <v>1+27.3975939246652i</v>
      </c>
      <c r="AK474" s="32">
        <f t="shared" si="287"/>
        <v>27.415837628291634</v>
      </c>
      <c r="AL474" s="32">
        <f t="shared" si="288"/>
        <v>1.5343129668015136</v>
      </c>
      <c r="AM474" s="32" t="str">
        <f t="shared" si="273"/>
        <v>1+592.472968620885i</v>
      </c>
      <c r="AN474" s="32">
        <f t="shared" si="289"/>
        <v>592.47381254064226</v>
      </c>
      <c r="AO474" s="32">
        <f t="shared" si="290"/>
        <v>1.5691084876809414</v>
      </c>
      <c r="AP474" s="61" t="str">
        <f t="shared" si="291"/>
        <v>-0.000188980432895197+0.00542897918984126i</v>
      </c>
      <c r="AQ474" s="52">
        <f t="shared" si="292"/>
        <v>-45.30037727379657</v>
      </c>
      <c r="AR474" s="64">
        <f t="shared" si="293"/>
        <v>91.993636492350532</v>
      </c>
      <c r="AS474" s="61" t="str">
        <f t="shared" si="294"/>
        <v>-0.00155958239247582+0.000719114833231246i</v>
      </c>
      <c r="AT474" s="67">
        <f t="shared" si="295"/>
        <v>-55.302628810948349</v>
      </c>
      <c r="AU474" s="64">
        <f t="shared" si="296"/>
        <v>155.24583400475237</v>
      </c>
    </row>
    <row r="475" spans="14:47" x14ac:dyDescent="0.25">
      <c r="N475" s="11">
        <v>57</v>
      </c>
      <c r="O475" s="53">
        <f t="shared" si="264"/>
        <v>371535.2290971732</v>
      </c>
      <c r="P475" s="51" t="str">
        <f t="shared" si="265"/>
        <v>122.692307692308</v>
      </c>
      <c r="Q475" s="18" t="str">
        <f t="shared" si="266"/>
        <v>1+2392.78530987703i</v>
      </c>
      <c r="R475" s="18">
        <f t="shared" si="274"/>
        <v>2392.7855188385179</v>
      </c>
      <c r="S475" s="18">
        <f t="shared" si="275"/>
        <v>1.570378403825522</v>
      </c>
      <c r="T475" s="18" t="str">
        <f t="shared" si="267"/>
        <v>1+0.478557061975407i</v>
      </c>
      <c r="U475" s="18">
        <f t="shared" si="276"/>
        <v>1.1086103290004714</v>
      </c>
      <c r="V475" s="18">
        <f t="shared" si="277"/>
        <v>0.44634657620520884</v>
      </c>
      <c r="W475" s="32" t="str">
        <f t="shared" si="268"/>
        <v>1-22.6690001137313i</v>
      </c>
      <c r="X475" s="18">
        <f t="shared" si="278"/>
        <v>22.69104594672422</v>
      </c>
      <c r="Y475" s="18">
        <f t="shared" si="279"/>
        <v>-1.5267118018522592</v>
      </c>
      <c r="Z475" s="32" t="str">
        <f t="shared" si="269"/>
        <v>-3.50737719054003+2.41905656622488i</v>
      </c>
      <c r="AA475" s="18">
        <f t="shared" si="280"/>
        <v>4.2606958853356547</v>
      </c>
      <c r="AB475" s="18">
        <f t="shared" si="281"/>
        <v>2.5378093643154314</v>
      </c>
      <c r="AC475" s="69" t="str">
        <f t="shared" si="282"/>
        <v>0.138766860005767+0.26906106132118i</v>
      </c>
      <c r="AD475" s="67">
        <f t="shared" si="283"/>
        <v>-10.378670750593775</v>
      </c>
      <c r="AE475" s="64">
        <f t="shared" si="284"/>
        <v>62.717811675979419</v>
      </c>
      <c r="AF475" s="32" t="str">
        <f t="shared" si="270"/>
        <v>-0.0000198412698412698</v>
      </c>
      <c r="AG475" s="32" t="str">
        <f t="shared" si="271"/>
        <v>0.0807710943626784i</v>
      </c>
      <c r="AH475" s="32">
        <f t="shared" si="285"/>
        <v>8.0771094362678403E-2</v>
      </c>
      <c r="AI475" s="32">
        <f t="shared" si="286"/>
        <v>1.5707963267948966</v>
      </c>
      <c r="AJ475" s="32" t="str">
        <f t="shared" si="272"/>
        <v>1+28.0357658684636i</v>
      </c>
      <c r="AK475" s="32">
        <f t="shared" si="287"/>
        <v>28.05359456168333</v>
      </c>
      <c r="AL475" s="32">
        <f t="shared" si="288"/>
        <v>1.5351427176813708</v>
      </c>
      <c r="AM475" s="32" t="str">
        <f t="shared" si="273"/>
        <v>1+606.273436905526i</v>
      </c>
      <c r="AN475" s="32">
        <f t="shared" si="289"/>
        <v>606.27426161535072</v>
      </c>
      <c r="AO475" s="32">
        <f t="shared" si="290"/>
        <v>1.5691469075192599</v>
      </c>
      <c r="AP475" s="61" t="str">
        <f t="shared" si="291"/>
        <v>-0.00018048571978377+0.00530570353168638i</v>
      </c>
      <c r="AQ475" s="52">
        <f t="shared" si="292"/>
        <v>-45.500117767775194</v>
      </c>
      <c r="AR475" s="64">
        <f t="shared" si="293"/>
        <v>91.948296563472695</v>
      </c>
      <c r="AS475" s="61" t="str">
        <f t="shared" si="294"/>
        <v>-0.00145260365990134+0.000687694139895289i</v>
      </c>
      <c r="AT475" s="67">
        <f t="shared" si="295"/>
        <v>-55.878788518368992</v>
      </c>
      <c r="AU475" s="64">
        <f t="shared" si="296"/>
        <v>154.66610823945203</v>
      </c>
    </row>
    <row r="476" spans="14:47" x14ac:dyDescent="0.25">
      <c r="N476" s="11">
        <v>58</v>
      </c>
      <c r="O476" s="53">
        <f t="shared" si="264"/>
        <v>380189.39632056188</v>
      </c>
      <c r="P476" s="51" t="str">
        <f t="shared" si="265"/>
        <v>122.692307692308</v>
      </c>
      <c r="Q476" s="18" t="str">
        <f t="shared" si="266"/>
        <v>1+2448.5204396295i</v>
      </c>
      <c r="R476" s="18">
        <f t="shared" si="274"/>
        <v>2448.5206438344435</v>
      </c>
      <c r="S476" s="18">
        <f t="shared" si="275"/>
        <v>1.5703879169126611</v>
      </c>
      <c r="T476" s="18" t="str">
        <f t="shared" si="267"/>
        <v>1+0.489704087925901i</v>
      </c>
      <c r="U476" s="18">
        <f t="shared" si="276"/>
        <v>1.1134675988691087</v>
      </c>
      <c r="V476" s="18">
        <f t="shared" si="277"/>
        <v>0.45537700578632162</v>
      </c>
      <c r="W476" s="32" t="str">
        <f t="shared" si="268"/>
        <v>1-23.1970289583928i</v>
      </c>
      <c r="X476" s="18">
        <f t="shared" si="278"/>
        <v>23.218573438015394</v>
      </c>
      <c r="Y476" s="18">
        <f t="shared" si="279"/>
        <v>-1.5277140324835004</v>
      </c>
      <c r="Z476" s="32" t="str">
        <f t="shared" si="269"/>
        <v>-3.71980333304793+2.47540363214866i</v>
      </c>
      <c r="AA476" s="18">
        <f t="shared" si="280"/>
        <v>4.468171883288429</v>
      </c>
      <c r="AB476" s="18">
        <f t="shared" si="281"/>
        <v>2.5544215575472782</v>
      </c>
      <c r="AC476" s="69" t="str">
        <f t="shared" si="282"/>
        <v>0.135106728315689+0.256528734773781i</v>
      </c>
      <c r="AD476" s="67">
        <f t="shared" si="283"/>
        <v>-10.754063788650774</v>
      </c>
      <c r="AE476" s="64">
        <f t="shared" si="284"/>
        <v>62.225439972514657</v>
      </c>
      <c r="AF476" s="32" t="str">
        <f t="shared" si="270"/>
        <v>-0.0000198412698412698</v>
      </c>
      <c r="AG476" s="32" t="str">
        <f t="shared" si="271"/>
        <v>0.0826524948401764i</v>
      </c>
      <c r="AH476" s="32">
        <f t="shared" si="285"/>
        <v>8.2652494840176394E-2</v>
      </c>
      <c r="AI476" s="32">
        <f t="shared" si="286"/>
        <v>1.5707963267948966</v>
      </c>
      <c r="AJ476" s="32" t="str">
        <f t="shared" si="272"/>
        <v>1+28.6888027464228i</v>
      </c>
      <c r="AK476" s="32">
        <f t="shared" si="287"/>
        <v>28.706225858220311</v>
      </c>
      <c r="AL476" s="32">
        <f t="shared" si="288"/>
        <v>1.5359536285870405</v>
      </c>
      <c r="AM476" s="32" t="str">
        <f t="shared" si="273"/>
        <v>1+620.395359391393i</v>
      </c>
      <c r="AN476" s="32">
        <f t="shared" si="289"/>
        <v>620.39616532855496</v>
      </c>
      <c r="AO476" s="32">
        <f t="shared" si="290"/>
        <v>1.569184452819993</v>
      </c>
      <c r="AP476" s="61" t="str">
        <f t="shared" si="291"/>
        <v>-0.000172372381956125+0.00518521377955431i</v>
      </c>
      <c r="AQ476" s="52">
        <f t="shared" si="292"/>
        <v>-45.699869926910594</v>
      </c>
      <c r="AR476" s="64">
        <f t="shared" si="293"/>
        <v>91.903985978289228</v>
      </c>
      <c r="AS476" s="61" t="str">
        <f t="shared" si="294"/>
        <v>-0.00135344499897872+0.000656338800319864i</v>
      </c>
      <c r="AT476" s="67">
        <f t="shared" si="295"/>
        <v>-56.453933715561348</v>
      </c>
      <c r="AU476" s="64">
        <f t="shared" si="296"/>
        <v>154.12942595080395</v>
      </c>
    </row>
    <row r="477" spans="14:47" x14ac:dyDescent="0.25">
      <c r="N477" s="11">
        <v>59</v>
      </c>
      <c r="O477" s="53">
        <f t="shared" si="264"/>
        <v>389045.14499428123</v>
      </c>
      <c r="P477" s="51" t="str">
        <f t="shared" si="265"/>
        <v>122.692307692308</v>
      </c>
      <c r="Q477" s="18" t="str">
        <f t="shared" si="266"/>
        <v>1+2505.55380732906i</v>
      </c>
      <c r="R477" s="18">
        <f t="shared" si="274"/>
        <v>2505.5540068857322</v>
      </c>
      <c r="S477" s="18">
        <f t="shared" si="275"/>
        <v>1.570397213455571</v>
      </c>
      <c r="T477" s="18" t="str">
        <f t="shared" si="267"/>
        <v>1+0.501110761465813i</v>
      </c>
      <c r="U477" s="18">
        <f t="shared" si="276"/>
        <v>1.1185311775971409</v>
      </c>
      <c r="V477" s="18">
        <f t="shared" si="277"/>
        <v>0.46453582330208693</v>
      </c>
      <c r="W477" s="32" t="str">
        <f t="shared" si="268"/>
        <v>1-23.7373571748571i</v>
      </c>
      <c r="X477" s="18">
        <f t="shared" si="278"/>
        <v>23.75841168190205</v>
      </c>
      <c r="Y477" s="18">
        <f t="shared" si="279"/>
        <v>-1.5286935332506708</v>
      </c>
      <c r="Z477" s="32" t="str">
        <f t="shared" si="269"/>
        <v>-3.94224081122027+2.53306318984405i</v>
      </c>
      <c r="AA477" s="18">
        <f t="shared" si="280"/>
        <v>4.6859013793926101</v>
      </c>
      <c r="AB477" s="18">
        <f t="shared" si="281"/>
        <v>2.5704767775229089</v>
      </c>
      <c r="AC477" s="69" t="str">
        <f t="shared" si="282"/>
        <v>0.131342917984526+0.244683251752139i</v>
      </c>
      <c r="AD477" s="67">
        <f t="shared" si="283"/>
        <v>-11.128281598108662</v>
      </c>
      <c r="AE477" s="64">
        <f t="shared" si="284"/>
        <v>61.773651305079078</v>
      </c>
      <c r="AF477" s="32" t="str">
        <f t="shared" si="270"/>
        <v>-0.0000198412698412698</v>
      </c>
      <c r="AG477" s="32" t="str">
        <f t="shared" si="271"/>
        <v>0.0845777187644736i</v>
      </c>
      <c r="AH477" s="32">
        <f t="shared" si="285"/>
        <v>8.4577718764473606E-2</v>
      </c>
      <c r="AI477" s="32">
        <f t="shared" si="286"/>
        <v>1.5707963267948966</v>
      </c>
      <c r="AJ477" s="32" t="str">
        <f t="shared" si="272"/>
        <v>1+29.3570508073393i</v>
      </c>
      <c r="AK477" s="32">
        <f t="shared" si="287"/>
        <v>29.374077553256047</v>
      </c>
      <c r="AL477" s="32">
        <f t="shared" si="288"/>
        <v>1.5367461252058945</v>
      </c>
      <c r="AM477" s="32" t="str">
        <f t="shared" si="273"/>
        <v>1+634.846223708713i</v>
      </c>
      <c r="AN477" s="32">
        <f t="shared" si="289"/>
        <v>634.84701130052838</v>
      </c>
      <c r="AO477" s="32">
        <f t="shared" si="290"/>
        <v>1.5692211434897325</v>
      </c>
      <c r="AP477" s="61" t="str">
        <f t="shared" si="291"/>
        <v>-0.000164623338119112+0.0050674478625187i</v>
      </c>
      <c r="AQ477" s="52">
        <f t="shared" si="292"/>
        <v>-45.899633227461798</v>
      </c>
      <c r="AR477" s="64">
        <f t="shared" si="293"/>
        <v>91.860681487274107</v>
      </c>
      <c r="AS477" s="61" t="str">
        <f t="shared" si="294"/>
        <v>-0.00126154173068242+0.000625292815312379i</v>
      </c>
      <c r="AT477" s="67">
        <f t="shared" si="295"/>
        <v>-57.027914825570456</v>
      </c>
      <c r="AU477" s="64">
        <f t="shared" si="296"/>
        <v>153.63433279235321</v>
      </c>
    </row>
    <row r="478" spans="14:47" x14ac:dyDescent="0.25">
      <c r="N478" s="11">
        <v>60</v>
      </c>
      <c r="O478" s="53">
        <f t="shared" si="264"/>
        <v>398107.17055349716</v>
      </c>
      <c r="P478" s="51" t="str">
        <f t="shared" si="265"/>
        <v>122.692307692308</v>
      </c>
      <c r="Q478" s="18" t="str">
        <f t="shared" si="266"/>
        <v>1+2563.91565282218i</v>
      </c>
      <c r="R478" s="18">
        <f t="shared" si="274"/>
        <v>2563.9158478363884</v>
      </c>
      <c r="S478" s="18">
        <f t="shared" si="275"/>
        <v>1.5704062983833957</v>
      </c>
      <c r="T478" s="18" t="str">
        <f t="shared" si="267"/>
        <v>1+0.512783130564437i</v>
      </c>
      <c r="U478" s="18">
        <f t="shared" si="276"/>
        <v>1.1238089423881021</v>
      </c>
      <c r="V478" s="18">
        <f t="shared" si="277"/>
        <v>0.47382173770531688</v>
      </c>
      <c r="W478" s="32" t="str">
        <f t="shared" si="268"/>
        <v>1-24.2902712522965i</v>
      </c>
      <c r="X478" s="18">
        <f t="shared" si="278"/>
        <v>24.310846910589969</v>
      </c>
      <c r="Y478" s="18">
        <f t="shared" si="279"/>
        <v>-1.5296508159757249</v>
      </c>
      <c r="Z478" s="32" t="str">
        <f t="shared" si="269"/>
        <v>-4.17516144477096+2.59206581117174i</v>
      </c>
      <c r="AA478" s="18">
        <f t="shared" si="280"/>
        <v>4.9143441331827118</v>
      </c>
      <c r="AB478" s="18">
        <f t="shared" si="281"/>
        <v>2.5859975540958615</v>
      </c>
      <c r="AC478" s="69" t="str">
        <f t="shared" si="282"/>
        <v>0.127508067024736+0.233488543984414i</v>
      </c>
      <c r="AD478" s="67">
        <f t="shared" si="283"/>
        <v>-11.501188497420923</v>
      </c>
      <c r="AE478" s="64">
        <f t="shared" si="284"/>
        <v>61.361051228940262</v>
      </c>
      <c r="AF478" s="32" t="str">
        <f t="shared" si="270"/>
        <v>-0.0000198412698412698</v>
      </c>
      <c r="AG478" s="32" t="str">
        <f t="shared" si="271"/>
        <v>0.0865477869147782i</v>
      </c>
      <c r="AH478" s="32">
        <f t="shared" si="285"/>
        <v>8.6547786914778199E-2</v>
      </c>
      <c r="AI478" s="32">
        <f t="shared" si="286"/>
        <v>1.5707963267948966</v>
      </c>
      <c r="AJ478" s="32" t="str">
        <f t="shared" si="272"/>
        <v>1+30.0408643651803i</v>
      </c>
      <c r="AK478" s="32">
        <f t="shared" si="287"/>
        <v>30.057503752094249</v>
      </c>
      <c r="AL478" s="32">
        <f t="shared" si="288"/>
        <v>1.5375206237460288</v>
      </c>
      <c r="AM478" s="32" t="str">
        <f t="shared" si="273"/>
        <v>1+649.633691897024i</v>
      </c>
      <c r="AN478" s="32">
        <f t="shared" si="289"/>
        <v>649.6344615610825</v>
      </c>
      <c r="AO478" s="32">
        <f t="shared" si="290"/>
        <v>1.569256998981962</v>
      </c>
      <c r="AP478" s="61" t="str">
        <f t="shared" si="291"/>
        <v>-0.000157222268443331+0.00495234503324144i</v>
      </c>
      <c r="AQ478" s="52">
        <f t="shared" si="292"/>
        <v>-46.09940716914803</v>
      </c>
      <c r="AR478" s="64">
        <f t="shared" si="293"/>
        <v>91.818360358062478</v>
      </c>
      <c r="AS478" s="61" t="str">
        <f t="shared" si="294"/>
        <v>-0.00117636293866244+0.000594754343887408i</v>
      </c>
      <c r="AT478" s="67">
        <f t="shared" si="295"/>
        <v>-57.600595666568957</v>
      </c>
      <c r="AU478" s="64">
        <f t="shared" si="296"/>
        <v>153.17941158700268</v>
      </c>
    </row>
    <row r="479" spans="14:47" x14ac:dyDescent="0.25">
      <c r="N479" s="11">
        <v>61</v>
      </c>
      <c r="O479" s="53">
        <f t="shared" si="264"/>
        <v>407380.27780411334</v>
      </c>
      <c r="P479" s="51" t="str">
        <f t="shared" si="265"/>
        <v>122.692307692308</v>
      </c>
      <c r="Q479" s="18" t="str">
        <f t="shared" si="266"/>
        <v>1+2623.63692033188i</v>
      </c>
      <c r="R479" s="18">
        <f t="shared" si="274"/>
        <v>2623.6371109070233</v>
      </c>
      <c r="S479" s="18">
        <f t="shared" si="275"/>
        <v>1.5704151765130778</v>
      </c>
      <c r="T479" s="18" t="str">
        <f t="shared" si="267"/>
        <v>1+0.524727384066376i</v>
      </c>
      <c r="U479" s="18">
        <f t="shared" si="276"/>
        <v>1.129309004475366</v>
      </c>
      <c r="V479" s="18">
        <f t="shared" si="277"/>
        <v>0.48323326593169785</v>
      </c>
      <c r="W479" s="32" t="str">
        <f t="shared" si="268"/>
        <v>1-24.8560643530737i</v>
      </c>
      <c r="X479" s="18">
        <f t="shared" si="278"/>
        <v>24.876172035185419</v>
      </c>
      <c r="Y479" s="18">
        <f t="shared" si="279"/>
        <v>-1.5305863812006786</v>
      </c>
      <c r="Z479" s="32" t="str">
        <f t="shared" si="269"/>
        <v>-4.41905928959202+2.65244278010258i</v>
      </c>
      <c r="AA479" s="18">
        <f t="shared" si="280"/>
        <v>5.1539827033710388</v>
      </c>
      <c r="AB479" s="18">
        <f t="shared" si="281"/>
        <v>2.601005579547361</v>
      </c>
      <c r="AC479" s="69" t="str">
        <f t="shared" si="282"/>
        <v>0.123630522572757+0.22290949327959i</v>
      </c>
      <c r="AD479" s="67">
        <f t="shared" si="283"/>
        <v>-11.872660887725846</v>
      </c>
      <c r="AE479" s="64">
        <f t="shared" si="284"/>
        <v>60.986282939674389</v>
      </c>
      <c r="AF479" s="32" t="str">
        <f t="shared" si="270"/>
        <v>-0.0000198412698412698</v>
      </c>
      <c r="AG479" s="32" t="str">
        <f t="shared" si="271"/>
        <v>0.0885637438473006i</v>
      </c>
      <c r="AH479" s="32">
        <f t="shared" si="285"/>
        <v>8.8563743847300605E-2</v>
      </c>
      <c r="AI479" s="32">
        <f t="shared" si="286"/>
        <v>1.5707963267948966</v>
      </c>
      <c r="AJ479" s="32" t="str">
        <f t="shared" si="272"/>
        <v>1+30.7406059869456i</v>
      </c>
      <c r="AK479" s="32">
        <f t="shared" si="287"/>
        <v>30.756866817747149</v>
      </c>
      <c r="AL479" s="32">
        <f t="shared" si="288"/>
        <v>1.5382775311380463</v>
      </c>
      <c r="AM479" s="32" t="str">
        <f t="shared" si="273"/>
        <v>1+664.7656044677i</v>
      </c>
      <c r="AN479" s="32">
        <f t="shared" si="289"/>
        <v>664.76635661208559</v>
      </c>
      <c r="AO479" s="32">
        <f t="shared" si="290"/>
        <v>1.5692920383073687</v>
      </c>
      <c r="AP479" s="61" t="str">
        <f t="shared" si="291"/>
        <v>-0.000150153580933326+0.0048398458437635i</v>
      </c>
      <c r="AQ479" s="52">
        <f t="shared" si="292"/>
        <v>-46.299191274102434</v>
      </c>
      <c r="AR479" s="64">
        <f t="shared" si="293"/>
        <v>91.777000364480401</v>
      </c>
      <c r="AS479" s="61" t="str">
        <f t="shared" si="294"/>
        <v>-0.00109741115026161+0.000564882012196104i</v>
      </c>
      <c r="AT479" s="67">
        <f t="shared" si="295"/>
        <v>-58.171852161828276</v>
      </c>
      <c r="AU479" s="64">
        <f t="shared" si="296"/>
        <v>152.76328330415481</v>
      </c>
    </row>
    <row r="480" spans="14:47" x14ac:dyDescent="0.25">
      <c r="N480" s="11">
        <v>62</v>
      </c>
      <c r="O480" s="53">
        <f t="shared" si="264"/>
        <v>416869.38347033598</v>
      </c>
      <c r="P480" s="51" t="str">
        <f t="shared" si="265"/>
        <v>122.692307692308</v>
      </c>
      <c r="Q480" s="18" t="str">
        <f t="shared" si="266"/>
        <v>1+2684.74927486468i</v>
      </c>
      <c r="R480" s="18">
        <f t="shared" si="274"/>
        <v>2684.7494611018037</v>
      </c>
      <c r="S480" s="18">
        <f t="shared" si="275"/>
        <v>1.5704238525519136</v>
      </c>
      <c r="T480" s="18" t="str">
        <f t="shared" si="267"/>
        <v>1+0.536949854972936i</v>
      </c>
      <c r="U480" s="18">
        <f t="shared" si="276"/>
        <v>1.1350397115323574</v>
      </c>
      <c r="V480" s="18">
        <f t="shared" si="277"/>
        <v>0.49276872807234101</v>
      </c>
      <c r="W480" s="32" t="str">
        <f t="shared" si="268"/>
        <v>1-25.4350364681798i</v>
      </c>
      <c r="X480" s="18">
        <f t="shared" si="278"/>
        <v>25.454686801012425</v>
      </c>
      <c r="Y480" s="18">
        <f t="shared" si="279"/>
        <v>-1.5315007184197937</v>
      </c>
      <c r="Z480" s="32" t="str">
        <f t="shared" si="269"/>
        <v>-4.67445168571226+2.71422610930465i</v>
      </c>
      <c r="AA480" s="18">
        <f t="shared" si="280"/>
        <v>5.4053234810221351</v>
      </c>
      <c r="AB480" s="18">
        <f t="shared" si="281"/>
        <v>2.6155216979128628</v>
      </c>
      <c r="AC480" s="69" t="str">
        <f t="shared" si="282"/>
        <v>0.11973478622301+0.212912115058206i</v>
      </c>
      <c r="AD480" s="67">
        <f t="shared" si="283"/>
        <v>-12.242586079567165</v>
      </c>
      <c r="AE480" s="64">
        <f t="shared" si="284"/>
        <v>60.648027594669394</v>
      </c>
      <c r="AF480" s="32" t="str">
        <f t="shared" si="270"/>
        <v>-0.0000198412698412698</v>
      </c>
      <c r="AG480" s="32" t="str">
        <f t="shared" si="271"/>
        <v>0.0906266584490904i</v>
      </c>
      <c r="AH480" s="32">
        <f t="shared" si="285"/>
        <v>9.0626658449090403E-2</v>
      </c>
      <c r="AI480" s="32">
        <f t="shared" si="286"/>
        <v>1.5707963267948966</v>
      </c>
      <c r="AJ480" s="32" t="str">
        <f t="shared" si="272"/>
        <v>1+31.4566466849053i</v>
      </c>
      <c r="AK480" s="32">
        <f t="shared" si="287"/>
        <v>31.472537563071771</v>
      </c>
      <c r="AL480" s="32">
        <f t="shared" si="288"/>
        <v>1.5390172452331707</v>
      </c>
      <c r="AM480" s="32" t="str">
        <f t="shared" si="273"/>
        <v>1+680.249984561078i</v>
      </c>
      <c r="AN480" s="32">
        <f t="shared" si="289"/>
        <v>680.2507195845858</v>
      </c>
      <c r="AO480" s="32">
        <f t="shared" si="290"/>
        <v>1.5693262800439227</v>
      </c>
      <c r="AP480" s="61" t="str">
        <f t="shared" si="291"/>
        <v>-0.000143402379255229+0.00472989212145632i</v>
      </c>
      <c r="AQ480" s="52">
        <f t="shared" si="292"/>
        <v>-46.498985085872221</v>
      </c>
      <c r="AR480" s="64">
        <f t="shared" si="293"/>
        <v>91.736579775771176</v>
      </c>
      <c r="AS480" s="61" t="str">
        <f t="shared" si="294"/>
        <v>-0.00102422158880041+0.000535800518148862i</v>
      </c>
      <c r="AT480" s="67">
        <f t="shared" si="295"/>
        <v>-58.741571165439368</v>
      </c>
      <c r="AU480" s="64">
        <f t="shared" si="296"/>
        <v>152.38460737044068</v>
      </c>
    </row>
    <row r="481" spans="14:47" x14ac:dyDescent="0.25">
      <c r="N481" s="11">
        <v>63</v>
      </c>
      <c r="O481" s="53">
        <f t="shared" si="264"/>
        <v>426579.51880159322</v>
      </c>
      <c r="P481" s="51" t="str">
        <f t="shared" si="265"/>
        <v>122.692307692308</v>
      </c>
      <c r="Q481" s="18" t="str">
        <f t="shared" si="266"/>
        <v>1+2747.28511899986i</v>
      </c>
      <c r="R481" s="18">
        <f t="shared" si="274"/>
        <v>2747.2853009977093</v>
      </c>
      <c r="S481" s="18">
        <f t="shared" si="275"/>
        <v>1.5704323311000488</v>
      </c>
      <c r="T481" s="18" t="str">
        <f t="shared" si="267"/>
        <v>1+0.549457023799972i</v>
      </c>
      <c r="U481" s="18">
        <f t="shared" si="276"/>
        <v>1.1410096498290989</v>
      </c>
      <c r="V481" s="18">
        <f t="shared" si="277"/>
        <v>0.50242624302723449</v>
      </c>
      <c r="W481" s="32" t="str">
        <f t="shared" si="268"/>
        <v>1-26.0274945762938i</v>
      </c>
      <c r="X481" s="18">
        <f t="shared" si="278"/>
        <v>26.046697946553671</v>
      </c>
      <c r="Y481" s="18">
        <f t="shared" si="279"/>
        <v>-1.5323943063080994</v>
      </c>
      <c r="Z481" s="32" t="str">
        <f t="shared" si="269"/>
        <v>-4.94188035464485+2.77744855711691i</v>
      </c>
      <c r="AA481" s="18">
        <f t="shared" si="280"/>
        <v>5.6688977700303882</v>
      </c>
      <c r="AB481" s="18">
        <f t="shared" si="281"/>
        <v>2.6295659041458759</v>
      </c>
      <c r="AC481" s="69" t="str">
        <f t="shared" si="282"/>
        <v>0.115841925391331+0.203463690231549i</v>
      </c>
      <c r="AD481" s="67">
        <f t="shared" si="283"/>
        <v>-12.610861231055067</v>
      </c>
      <c r="AE481" s="64">
        <f t="shared" si="284"/>
        <v>60.345004098757819</v>
      </c>
      <c r="AF481" s="32" t="str">
        <f t="shared" si="270"/>
        <v>-0.0000198412698412698</v>
      </c>
      <c r="AG481" s="32" t="str">
        <f t="shared" si="271"/>
        <v>0.0927376245047757i</v>
      </c>
      <c r="AH481" s="32">
        <f t="shared" si="285"/>
        <v>9.2737624504775698E-2</v>
      </c>
      <c r="AI481" s="32">
        <f t="shared" si="286"/>
        <v>1.5707963267948966</v>
      </c>
      <c r="AJ481" s="32" t="str">
        <f t="shared" si="272"/>
        <v>1+32.1893661133152i</v>
      </c>
      <c r="AK481" s="32">
        <f t="shared" si="287"/>
        <v>32.204895447385709</v>
      </c>
      <c r="AL481" s="32">
        <f t="shared" si="288"/>
        <v>1.5397401549977192</v>
      </c>
      <c r="AM481" s="32" t="str">
        <f t="shared" si="273"/>
        <v>1+696.095042200442i</v>
      </c>
      <c r="AN481" s="32">
        <f t="shared" si="289"/>
        <v>696.09576049278962</v>
      </c>
      <c r="AO481" s="32">
        <f t="shared" si="290"/>
        <v>1.5693597423467245</v>
      </c>
      <c r="AP481" s="61" t="str">
        <f t="shared" si="291"/>
        <v>-0.000136954431961139+0.00462242694515547i</v>
      </c>
      <c r="AQ481" s="52">
        <f t="shared" si="292"/>
        <v>-46.698788168463281</v>
      </c>
      <c r="AR481" s="64">
        <f t="shared" si="293"/>
        <v>91.697077346017082</v>
      </c>
      <c r="AS481" s="61" t="str">
        <f t="shared" si="294"/>
        <v>-0.000956361109176332+0.000507605583187199i</v>
      </c>
      <c r="AT481" s="67">
        <f t="shared" si="295"/>
        <v>-59.309649399518349</v>
      </c>
      <c r="AU481" s="64">
        <f t="shared" si="296"/>
        <v>152.04208144477488</v>
      </c>
    </row>
    <row r="482" spans="14:47" x14ac:dyDescent="0.25">
      <c r="N482" s="11">
        <v>64</v>
      </c>
      <c r="O482" s="53">
        <f t="shared" si="264"/>
        <v>436515.83224016649</v>
      </c>
      <c r="P482" s="51" t="str">
        <f t="shared" si="265"/>
        <v>122.692307692308</v>
      </c>
      <c r="Q482" s="18" t="str">
        <f t="shared" si="266"/>
        <v>1+2811.27761006975i</v>
      </c>
      <c r="R482" s="18">
        <f t="shared" si="274"/>
        <v>2811.2777879248229</v>
      </c>
      <c r="S482" s="18">
        <f t="shared" si="275"/>
        <v>1.5704406166529166</v>
      </c>
      <c r="T482" s="18" t="str">
        <f t="shared" si="267"/>
        <v>1+0.56225552201395i</v>
      </c>
      <c r="U482" s="18">
        <f t="shared" si="276"/>
        <v>1.1472276461257285</v>
      </c>
      <c r="V482" s="18">
        <f t="shared" si="277"/>
        <v>0.51220372469501108</v>
      </c>
      <c r="W482" s="32" t="str">
        <f t="shared" si="268"/>
        <v>1-26.6337528065468i</v>
      </c>
      <c r="X482" s="18">
        <f t="shared" si="278"/>
        <v>26.652519366098197</v>
      </c>
      <c r="Y482" s="18">
        <f t="shared" si="279"/>
        <v>-1.5332676129462315</v>
      </c>
      <c r="Z482" s="32" t="str">
        <f t="shared" si="269"/>
        <v>-5.2219125484514+2.84214364491802i</v>
      </c>
      <c r="AA482" s="18">
        <f t="shared" si="280"/>
        <v>5.9452629178213883</v>
      </c>
      <c r="AB482" s="18">
        <f t="shared" si="281"/>
        <v>2.6431573512057294</v>
      </c>
      <c r="AC482" s="69" t="str">
        <f t="shared" si="282"/>
        <v>0.111969950665448+0.194532854513452i</v>
      </c>
      <c r="AD482" s="67">
        <f t="shared" si="283"/>
        <v>-12.977392392062901</v>
      </c>
      <c r="AE482" s="64">
        <f t="shared" si="284"/>
        <v>60.075968466786819</v>
      </c>
      <c r="AF482" s="32" t="str">
        <f t="shared" si="270"/>
        <v>-0.0000198412698412698</v>
      </c>
      <c r="AG482" s="32" t="str">
        <f t="shared" si="271"/>
        <v>0.0948977612765009i</v>
      </c>
      <c r="AH482" s="32">
        <f t="shared" si="285"/>
        <v>9.4897761276500903E-2</v>
      </c>
      <c r="AI482" s="32">
        <f t="shared" si="286"/>
        <v>1.5707963267948966</v>
      </c>
      <c r="AJ482" s="32" t="str">
        <f t="shared" si="272"/>
        <v>1+32.939152769715i</v>
      </c>
      <c r="AK482" s="32">
        <f t="shared" si="287"/>
        <v>32.95432877766779</v>
      </c>
      <c r="AL482" s="32">
        <f t="shared" si="288"/>
        <v>1.5404466407039565</v>
      </c>
      <c r="AM482" s="32" t="str">
        <f t="shared" si="273"/>
        <v>1+712.309178645087i</v>
      </c>
      <c r="AN482" s="32">
        <f t="shared" si="289"/>
        <v>712.3098805871208</v>
      </c>
      <c r="AO482" s="32">
        <f t="shared" si="290"/>
        <v>1.5693924429576298</v>
      </c>
      <c r="AP482" s="61" t="str">
        <f t="shared" si="291"/>
        <v>-0.000130796143051877+0.00451739462149678i</v>
      </c>
      <c r="AQ482" s="52">
        <f t="shared" si="292"/>
        <v>-46.898600105426702</v>
      </c>
      <c r="AR482" s="64">
        <f t="shared" si="293"/>
        <v>91.658472303755744</v>
      </c>
      <c r="AS482" s="61" t="str">
        <f t="shared" si="294"/>
        <v>-0.000893426908368233+0.000480368305838123i</v>
      </c>
      <c r="AT482" s="67">
        <f t="shared" si="295"/>
        <v>-59.875992497489605</v>
      </c>
      <c r="AU482" s="64">
        <f t="shared" si="296"/>
        <v>151.73444077054259</v>
      </c>
    </row>
    <row r="483" spans="14:47" x14ac:dyDescent="0.25">
      <c r="N483" s="11">
        <v>65</v>
      </c>
      <c r="O483" s="53">
        <f t="shared" si="264"/>
        <v>446683.59215096442</v>
      </c>
      <c r="P483" s="51" t="str">
        <f t="shared" si="265"/>
        <v>122.692307692308</v>
      </c>
      <c r="Q483" s="18" t="str">
        <f t="shared" si="266"/>
        <v>1+2876.76067774017i</v>
      </c>
      <c r="R483" s="18">
        <f t="shared" si="274"/>
        <v>2876.7608515467673</v>
      </c>
      <c r="S483" s="18">
        <f t="shared" si="275"/>
        <v>1.5704487136036223</v>
      </c>
      <c r="T483" s="18" t="str">
        <f t="shared" si="267"/>
        <v>1+0.575352135548034i</v>
      </c>
      <c r="U483" s="18">
        <f t="shared" si="276"/>
        <v>1.153702769295317</v>
      </c>
      <c r="V483" s="18">
        <f t="shared" si="277"/>
        <v>0.52209887875428285</v>
      </c>
      <c r="W483" s="32" t="str">
        <f t="shared" si="268"/>
        <v>1-27.2541326050773i</v>
      </c>
      <c r="X483" s="18">
        <f t="shared" si="278"/>
        <v>27.272472276182398</v>
      </c>
      <c r="Y483" s="18">
        <f t="shared" si="279"/>
        <v>-1.5341210960415683</v>
      </c>
      <c r="Z483" s="32" t="str">
        <f t="shared" si="269"/>
        <v>-5.51514225295963+2.9083456748999i</v>
      </c>
      <c r="AA483" s="18">
        <f t="shared" si="280"/>
        <v>6.2350034992042769</v>
      </c>
      <c r="AB483" s="18">
        <f t="shared" si="281"/>
        <v>2.6563143634370565</v>
      </c>
      <c r="AC483" s="69" t="str">
        <f t="shared" si="282"/>
        <v>0.108134159920639+0.186089652994194i</v>
      </c>
      <c r="AD483" s="67">
        <f t="shared" si="283"/>
        <v>-13.342093648309778</v>
      </c>
      <c r="AE483" s="64">
        <f t="shared" si="284"/>
        <v>59.839712859806994</v>
      </c>
      <c r="AF483" s="32" t="str">
        <f t="shared" si="270"/>
        <v>-0.0000198412698412698</v>
      </c>
      <c r="AG483" s="32" t="str">
        <f t="shared" si="271"/>
        <v>0.0971082140973754i</v>
      </c>
      <c r="AH483" s="32">
        <f t="shared" si="285"/>
        <v>9.7108214097375398E-2</v>
      </c>
      <c r="AI483" s="32">
        <f t="shared" si="286"/>
        <v>1.5707963267948966</v>
      </c>
      <c r="AJ483" s="32" t="str">
        <f t="shared" si="272"/>
        <v>1+33.7064042009147i</v>
      </c>
      <c r="AK483" s="32">
        <f t="shared" si="287"/>
        <v>33.721234914448793</v>
      </c>
      <c r="AL483" s="32">
        <f t="shared" si="288"/>
        <v>1.5411370741173616</v>
      </c>
      <c r="AM483" s="32" t="str">
        <f t="shared" si="273"/>
        <v>1+728.90099084478i</v>
      </c>
      <c r="AN483" s="32">
        <f t="shared" si="289"/>
        <v>728.90167680867773</v>
      </c>
      <c r="AO483" s="32">
        <f t="shared" si="290"/>
        <v>1.5694243992146557</v>
      </c>
      <c r="AP483" s="61" t="str">
        <f t="shared" si="291"/>
        <v>-0.000124914523821924+0.00441474066147239i</v>
      </c>
      <c r="AQ483" s="52">
        <f t="shared" si="292"/>
        <v>-47.098420498985938</v>
      </c>
      <c r="AR483" s="64">
        <f t="shared" si="293"/>
        <v>91.620744341789461</v>
      </c>
      <c r="AS483" s="61" t="str">
        <f t="shared" si="294"/>
        <v>-0.000835045084848126+0.000454138972303846i</v>
      </c>
      <c r="AT483" s="67">
        <f t="shared" si="295"/>
        <v>-60.440514147295715</v>
      </c>
      <c r="AU483" s="64">
        <f t="shared" si="296"/>
        <v>151.46045720159645</v>
      </c>
    </row>
    <row r="484" spans="14:47" x14ac:dyDescent="0.25">
      <c r="N484" s="11">
        <v>66</v>
      </c>
      <c r="O484" s="53">
        <f t="shared" ref="O484:O518" si="297">10^(5+(N484/100))</f>
        <v>457088.18961487547</v>
      </c>
      <c r="P484" s="51" t="str">
        <f t="shared" si="265"/>
        <v>122.692307692308</v>
      </c>
      <c r="Q484" s="18" t="str">
        <f t="shared" si="266"/>
        <v>1+2943.76904200034i</v>
      </c>
      <c r="R484" s="18">
        <f t="shared" si="274"/>
        <v>2943.769211850617</v>
      </c>
      <c r="S484" s="18">
        <f t="shared" si="275"/>
        <v>1.5704566262452724</v>
      </c>
      <c r="T484" s="18" t="str">
        <f t="shared" si="267"/>
        <v>1+0.588753808400068i</v>
      </c>
      <c r="U484" s="18">
        <f t="shared" si="276"/>
        <v>1.1604443316702375</v>
      </c>
      <c r="V484" s="18">
        <f t="shared" si="277"/>
        <v>0.53210920009104734</v>
      </c>
      <c r="W484" s="32" t="str">
        <f t="shared" si="268"/>
        <v>1-27.8889629054659i</v>
      </c>
      <c r="X484" s="18">
        <f t="shared" si="278"/>
        <v>27.906885385912432</v>
      </c>
      <c r="Y484" s="18">
        <f t="shared" si="279"/>
        <v>-1.5349552031456599</v>
      </c>
      <c r="Z484" s="32" t="str">
        <f t="shared" si="269"/>
        <v>-5.82219144768664+2.97608974825509i</v>
      </c>
      <c r="AA484" s="18">
        <f t="shared" si="280"/>
        <v>6.5387325563280605</v>
      </c>
      <c r="AB484" s="18">
        <f t="shared" si="281"/>
        <v>2.6690544548584074</v>
      </c>
      <c r="AC484" s="69" t="str">
        <f t="shared" si="282"/>
        <v>0.10434745055033+0.178105566664956i</v>
      </c>
      <c r="AD484" s="67">
        <f t="shared" si="283"/>
        <v>-13.704886358746538</v>
      </c>
      <c r="AE484" s="64">
        <f t="shared" si="284"/>
        <v>59.635064377221347</v>
      </c>
      <c r="AF484" s="32" t="str">
        <f t="shared" si="270"/>
        <v>-0.0000198412698412698</v>
      </c>
      <c r="AG484" s="32" t="str">
        <f t="shared" si="271"/>
        <v>0.0993701549787432i</v>
      </c>
      <c r="AH484" s="32">
        <f t="shared" si="285"/>
        <v>9.93701549787432E-2</v>
      </c>
      <c r="AI484" s="32">
        <f t="shared" si="286"/>
        <v>1.5707963267948966</v>
      </c>
      <c r="AJ484" s="32" t="str">
        <f t="shared" si="272"/>
        <v>1+34.4915272137784i</v>
      </c>
      <c r="AK484" s="32">
        <f t="shared" si="287"/>
        <v>34.50602048250154</v>
      </c>
      <c r="AL484" s="32">
        <f t="shared" si="288"/>
        <v>1.5418118186803345</v>
      </c>
      <c r="AM484" s="32" t="str">
        <f t="shared" si="273"/>
        <v>1+745.879275997959i</v>
      </c>
      <c r="AN484" s="32">
        <f t="shared" si="289"/>
        <v>745.87994634742631</v>
      </c>
      <c r="AO484" s="32">
        <f t="shared" si="290"/>
        <v>1.5694556280611716</v>
      </c>
      <c r="AP484" s="61" t="str">
        <f t="shared" si="291"/>
        <v>-0.000119297165932612+0.00431441175722267i</v>
      </c>
      <c r="AQ484" s="52">
        <f t="shared" si="292"/>
        <v>-47.298248969202675</v>
      </c>
      <c r="AR484" s="64">
        <f t="shared" si="293"/>
        <v>91.583873607186106</v>
      </c>
      <c r="AS484" s="61" t="str">
        <f t="shared" si="294"/>
        <v>-0.00078086910596904+0.000428950378150604i</v>
      </c>
      <c r="AT484" s="67">
        <f t="shared" si="295"/>
        <v>-61.003135327949209</v>
      </c>
      <c r="AU484" s="64">
        <f t="shared" si="296"/>
        <v>151.21893798440743</v>
      </c>
    </row>
    <row r="485" spans="14:47" x14ac:dyDescent="0.25">
      <c r="N485" s="11">
        <v>67</v>
      </c>
      <c r="O485" s="53">
        <f t="shared" si="297"/>
        <v>467735.14128719864</v>
      </c>
      <c r="P485" s="51" t="str">
        <f t="shared" si="265"/>
        <v>122.692307692308</v>
      </c>
      <c r="Q485" s="18" t="str">
        <f t="shared" si="266"/>
        <v>1+3012.33823157197i</v>
      </c>
      <c r="R485" s="18">
        <f t="shared" si="274"/>
        <v>3012.3383975559827</v>
      </c>
      <c r="S485" s="18">
        <f t="shared" si="275"/>
        <v>1.5704643587732499</v>
      </c>
      <c r="T485" s="18" t="str">
        <f t="shared" si="267"/>
        <v>1+0.602467646314395i</v>
      </c>
      <c r="U485" s="18">
        <f t="shared" si="276"/>
        <v>1.1674618901084552</v>
      </c>
      <c r="V485" s="18">
        <f t="shared" si="277"/>
        <v>0.5422319709252621</v>
      </c>
      <c r="W485" s="32" t="str">
        <f t="shared" si="268"/>
        <v>1-28.5385803031411i</v>
      </c>
      <c r="X485" s="18">
        <f t="shared" si="278"/>
        <v>28.556095071259886</v>
      </c>
      <c r="Y485" s="18">
        <f t="shared" si="279"/>
        <v>-1.5357703718679456</v>
      </c>
      <c r="Z485" s="32" t="str">
        <f t="shared" si="269"/>
        <v>-6.14371142514137+3.04541178378803i</v>
      </c>
      <c r="AA485" s="18">
        <f t="shared" si="280"/>
        <v>6.8570928977408201</v>
      </c>
      <c r="AB485" s="18">
        <f t="shared" si="281"/>
        <v>2.681394351196611</v>
      </c>
      <c r="AC485" s="69" t="str">
        <f t="shared" si="282"/>
        <v>0.100620601538278+0.170553516560659i</v>
      </c>
      <c r="AD485" s="67">
        <f t="shared" si="283"/>
        <v>-14.065698479465929</v>
      </c>
      <c r="AE485" s="64">
        <f t="shared" si="284"/>
        <v>59.460883674595948</v>
      </c>
      <c r="AF485" s="32" t="str">
        <f t="shared" si="270"/>
        <v>-0.0000198412698412698</v>
      </c>
      <c r="AG485" s="32" t="str">
        <f t="shared" si="271"/>
        <v>0.1016847832316i</v>
      </c>
      <c r="AH485" s="32">
        <f t="shared" si="285"/>
        <v>0.1016847832316</v>
      </c>
      <c r="AI485" s="32">
        <f t="shared" si="286"/>
        <v>1.5707963267948966</v>
      </c>
      <c r="AJ485" s="32" t="str">
        <f t="shared" si="272"/>
        <v>1+35.2949380909204i</v>
      </c>
      <c r="AK485" s="32">
        <f t="shared" si="287"/>
        <v>35.309101586445152</v>
      </c>
      <c r="AL485" s="32">
        <f t="shared" si="288"/>
        <v>1.5424712296923855</v>
      </c>
      <c r="AM485" s="32" t="str">
        <f t="shared" si="273"/>
        <v>1+763.253036216153i</v>
      </c>
      <c r="AN485" s="32">
        <f t="shared" si="289"/>
        <v>763.2536913066167</v>
      </c>
      <c r="AO485" s="32">
        <f t="shared" si="290"/>
        <v>1.5694861460548812</v>
      </c>
      <c r="AP485" s="61" t="str">
        <f t="shared" si="291"/>
        <v>-0.000113932215661644+0.00421635575907825i</v>
      </c>
      <c r="AQ485" s="52">
        <f t="shared" si="292"/>
        <v>-47.498085153179787</v>
      </c>
      <c r="AR485" s="64">
        <f t="shared" si="293"/>
        <v>91.547840691469901</v>
      </c>
      <c r="AS485" s="61" t="str">
        <f t="shared" si="294"/>
        <v>-0.000730578229856046+0.000404820712747195i</v>
      </c>
      <c r="AT485" s="67">
        <f t="shared" si="295"/>
        <v>-61.563783632645709</v>
      </c>
      <c r="AU485" s="64">
        <f t="shared" si="296"/>
        <v>151.00872436606591</v>
      </c>
    </row>
    <row r="486" spans="14:47" x14ac:dyDescent="0.25">
      <c r="N486" s="11">
        <v>68</v>
      </c>
      <c r="O486" s="53">
        <f t="shared" si="297"/>
        <v>478630.09232263872</v>
      </c>
      <c r="P486" s="51" t="str">
        <f t="shared" si="265"/>
        <v>122.692307692308</v>
      </c>
      <c r="Q486" s="18" t="str">
        <f t="shared" si="266"/>
        <v>1+3082.504602747i</v>
      </c>
      <c r="R486" s="18">
        <f t="shared" si="274"/>
        <v>3082.5047649527551</v>
      </c>
      <c r="S486" s="18">
        <f t="shared" si="275"/>
        <v>1.57047191528744</v>
      </c>
      <c r="T486" s="18" t="str">
        <f t="shared" si="267"/>
        <v>1+0.616500920549401i</v>
      </c>
      <c r="U486" s="18">
        <f t="shared" si="276"/>
        <v>1.174765246778376</v>
      </c>
      <c r="V486" s="18">
        <f t="shared" si="277"/>
        <v>0.55246425968749568</v>
      </c>
      <c r="W486" s="32" t="str">
        <f t="shared" si="268"/>
        <v>1-29.2033292338459i</v>
      </c>
      <c r="X486" s="18">
        <f t="shared" si="278"/>
        <v>29.220445553420269</v>
      </c>
      <c r="Y486" s="18">
        <f t="shared" si="279"/>
        <v>-1.536567030085759</v>
      </c>
      <c r="Z486" s="32" t="str">
        <f t="shared" si="269"/>
        <v>-6.48038417230291+3.11634853695952i</v>
      </c>
      <c r="AA486" s="18">
        <f t="shared" si="280"/>
        <v>7.190758459609377</v>
      </c>
      <c r="AB486" s="18">
        <f t="shared" si="281"/>
        <v>2.6933500146944476</v>
      </c>
      <c r="AC486" s="69" t="str">
        <f t="shared" si="282"/>
        <v>0.0969625273261295+0.163407850288394i</v>
      </c>
      <c r="AD486" s="67">
        <f t="shared" si="283"/>
        <v>-14.424463967330595</v>
      </c>
      <c r="AE486" s="64">
        <f t="shared" si="284"/>
        <v>59.316063465760152</v>
      </c>
      <c r="AF486" s="32" t="str">
        <f t="shared" si="270"/>
        <v>-0.0000198412698412698</v>
      </c>
      <c r="AG486" s="32" t="str">
        <f t="shared" si="271"/>
        <v>0.104053326102484i</v>
      </c>
      <c r="AH486" s="32">
        <f t="shared" si="285"/>
        <v>0.104053326102484</v>
      </c>
      <c r="AI486" s="32">
        <f t="shared" si="286"/>
        <v>1.5707963267948966</v>
      </c>
      <c r="AJ486" s="32" t="str">
        <f t="shared" si="272"/>
        <v>1+36.1170628114219i</v>
      </c>
      <c r="AK486" s="32">
        <f t="shared" si="287"/>
        <v>36.130904031371749</v>
      </c>
      <c r="AL486" s="32">
        <f t="shared" si="288"/>
        <v>1.5431156544868325</v>
      </c>
      <c r="AM486" s="32" t="str">
        <f t="shared" si="273"/>
        <v>1+781.031483296999i</v>
      </c>
      <c r="AN486" s="32">
        <f t="shared" si="289"/>
        <v>781.03212347579563</v>
      </c>
      <c r="AO486" s="32">
        <f t="shared" si="290"/>
        <v>1.5695159693766012</v>
      </c>
      <c r="AP486" s="61" t="str">
        <f t="shared" si="291"/>
        <v>-0.000108808349279141+0.00412052165286487i</v>
      </c>
      <c r="AQ486" s="52">
        <f t="shared" si="292"/>
        <v>-47.697928704299279</v>
      </c>
      <c r="AR486" s="64">
        <f t="shared" si="293"/>
        <v>91.512626621000123</v>
      </c>
      <c r="AS486" s="61" t="str">
        <f t="shared" si="294"/>
        <v>-0.000683875917901718+0.000381756054914685i</v>
      </c>
      <c r="AT486" s="67">
        <f t="shared" si="295"/>
        <v>-62.122392671629882</v>
      </c>
      <c r="AU486" s="64">
        <f t="shared" si="296"/>
        <v>150.82869008676028</v>
      </c>
    </row>
    <row r="487" spans="14:47" x14ac:dyDescent="0.25">
      <c r="N487" s="11">
        <v>69</v>
      </c>
      <c r="O487" s="53">
        <f t="shared" si="297"/>
        <v>489778.81936844654</v>
      </c>
      <c r="P487" s="51" t="str">
        <f t="shared" si="265"/>
        <v>122.692307692308</v>
      </c>
      <c r="Q487" s="18" t="str">
        <f t="shared" si="266"/>
        <v>1+3154.30535866418i</v>
      </c>
      <c r="R487" s="18">
        <f t="shared" si="274"/>
        <v>3154.3055171776818</v>
      </c>
      <c r="S487" s="18">
        <f t="shared" si="275"/>
        <v>1.570479299794403</v>
      </c>
      <c r="T487" s="18" t="str">
        <f t="shared" si="267"/>
        <v>1+0.630861071732837i</v>
      </c>
      <c r="U487" s="18">
        <f t="shared" si="276"/>
        <v>1.1823644496634291</v>
      </c>
      <c r="V487" s="18">
        <f t="shared" si="277"/>
        <v>0.56280292069381344</v>
      </c>
      <c r="W487" s="32" t="str">
        <f t="shared" si="268"/>
        <v>1-29.8835621562622i</v>
      </c>
      <c r="X487" s="18">
        <f t="shared" si="278"/>
        <v>29.900289081331412</v>
      </c>
      <c r="Y487" s="18">
        <f t="shared" si="279"/>
        <v>-1.5373455961506373</v>
      </c>
      <c r="Z487" s="32" t="str">
        <f t="shared" si="269"/>
        <v>-6.8329238172065+3.18893761937507i</v>
      </c>
      <c r="AA487" s="18">
        <f t="shared" si="280"/>
        <v>7.5404357322381168</v>
      </c>
      <c r="AB487" s="18">
        <f t="shared" si="281"/>
        <v>2.7049366708845004</v>
      </c>
      <c r="AC487" s="69" t="str">
        <f t="shared" si="282"/>
        <v>0.0933805055438348+0.156644314922439i</v>
      </c>
      <c r="AD487" s="67">
        <f t="shared" si="283"/>
        <v>-14.781122256626123</v>
      </c>
      <c r="AE487" s="64">
        <f t="shared" si="284"/>
        <v>59.199526958207151</v>
      </c>
      <c r="AF487" s="32" t="str">
        <f t="shared" si="270"/>
        <v>-0.0000198412698412698</v>
      </c>
      <c r="AG487" s="32" t="str">
        <f t="shared" si="271"/>
        <v>0.106477039424176i</v>
      </c>
      <c r="AH487" s="32">
        <f t="shared" si="285"/>
        <v>0.106477039424176</v>
      </c>
      <c r="AI487" s="32">
        <f t="shared" si="286"/>
        <v>1.5707963267948966</v>
      </c>
      <c r="AJ487" s="32" t="str">
        <f t="shared" si="272"/>
        <v>1+36.9583372766919i</v>
      </c>
      <c r="AK487" s="32">
        <f t="shared" si="287"/>
        <v>36.971863548619154</v>
      </c>
      <c r="AL487" s="32">
        <f t="shared" si="288"/>
        <v>1.5437454326040549</v>
      </c>
      <c r="AM487" s="32" t="str">
        <f t="shared" si="273"/>
        <v>1+799.224043608463i</v>
      </c>
      <c r="AN487" s="32">
        <f t="shared" si="289"/>
        <v>799.22466921502269</v>
      </c>
      <c r="AO487" s="32">
        <f t="shared" si="290"/>
        <v>1.5695451138388394</v>
      </c>
      <c r="AP487" s="61" t="str">
        <f t="shared" si="291"/>
        <v>-0.000103914749502344+0.00402685953748196i</v>
      </c>
      <c r="AQ487" s="52">
        <f t="shared" si="292"/>
        <v>-47.89777929149443</v>
      </c>
      <c r="AR487" s="64">
        <f t="shared" si="293"/>
        <v>91.478212847536014</v>
      </c>
      <c r="AS487" s="61" t="str">
        <f t="shared" si="294"/>
        <v>-0.000640488265379741+0.000359752524617947i</v>
      </c>
      <c r="AT487" s="67">
        <f t="shared" si="295"/>
        <v>-62.678901548120542</v>
      </c>
      <c r="AU487" s="64">
        <f t="shared" si="296"/>
        <v>150.67773980574313</v>
      </c>
    </row>
    <row r="488" spans="14:47" x14ac:dyDescent="0.25">
      <c r="N488" s="11">
        <v>70</v>
      </c>
      <c r="O488" s="53">
        <f t="shared" si="297"/>
        <v>501187.23362727347</v>
      </c>
      <c r="P488" s="51" t="str">
        <f t="shared" si="265"/>
        <v>122.692307692308</v>
      </c>
      <c r="Q488" s="18" t="str">
        <f t="shared" si="266"/>
        <v>1+3227.77856903469i</v>
      </c>
      <c r="R488" s="18">
        <f t="shared" si="274"/>
        <v>3227.778723939984</v>
      </c>
      <c r="S488" s="18">
        <f t="shared" si="275"/>
        <v>1.5704865162094992</v>
      </c>
      <c r="T488" s="18" t="str">
        <f t="shared" si="267"/>
        <v>1+0.645555713806939i</v>
      </c>
      <c r="U488" s="18">
        <f t="shared" si="276"/>
        <v>1.1902697927901835</v>
      </c>
      <c r="V488" s="18">
        <f t="shared" si="277"/>
        <v>0.57324459466340283</v>
      </c>
      <c r="W488" s="32" t="str">
        <f t="shared" si="268"/>
        <v>1-30.5796397388895i</v>
      </c>
      <c r="X488" s="18">
        <f t="shared" si="278"/>
        <v>30.595986118448121</v>
      </c>
      <c r="Y488" s="18">
        <f t="shared" si="279"/>
        <v>-1.5381064790909391</v>
      </c>
      <c r="Z488" s="32" t="str">
        <f t="shared" si="269"/>
        <v>-7.20207814370478+3.26321751872698i</v>
      </c>
      <c r="AA488" s="18">
        <f t="shared" si="280"/>
        <v>7.9068652551157568</v>
      </c>
      <c r="AB488" s="18">
        <f t="shared" si="281"/>
        <v>2.7161688366639898</v>
      </c>
      <c r="AC488" s="69" t="str">
        <f t="shared" si="282"/>
        <v>0.0898803807005702+0.150240019567419i</v>
      </c>
      <c r="AD488" s="67">
        <f t="shared" si="283"/>
        <v>-15.135617802236306</v>
      </c>
      <c r="AE488" s="64">
        <f t="shared" si="284"/>
        <v>59.110226262449309</v>
      </c>
      <c r="AF488" s="32" t="str">
        <f t="shared" si="270"/>
        <v>-0.0000198412698412698</v>
      </c>
      <c r="AG488" s="32" t="str">
        <f t="shared" si="271"/>
        <v>0.108957208281561i</v>
      </c>
      <c r="AH488" s="32">
        <f t="shared" si="285"/>
        <v>0.108957208281561</v>
      </c>
      <c r="AI488" s="32">
        <f t="shared" si="286"/>
        <v>1.5707963267948966</v>
      </c>
      <c r="AJ488" s="32" t="str">
        <f t="shared" si="272"/>
        <v>1+37.8192075415875i</v>
      </c>
      <c r="AK488" s="32">
        <f t="shared" si="287"/>
        <v>37.832426026804953</v>
      </c>
      <c r="AL488" s="32">
        <f t="shared" si="288"/>
        <v>1.5443608959613395</v>
      </c>
      <c r="AM488" s="32" t="str">
        <f t="shared" si="273"/>
        <v>1+817.840363086829i</v>
      </c>
      <c r="AN488" s="32">
        <f t="shared" si="289"/>
        <v>817.84097445285556</v>
      </c>
      <c r="AO488" s="32">
        <f t="shared" si="290"/>
        <v>1.5695735948941771</v>
      </c>
      <c r="AP488" s="61" t="str">
        <f t="shared" si="291"/>
        <v>-0.0000992410829829925+0.00393532060276464i</v>
      </c>
      <c r="AQ488" s="52">
        <f t="shared" si="292"/>
        <v>-48.097636598554317</v>
      </c>
      <c r="AR488" s="64">
        <f t="shared" si="293"/>
        <v>91.444581238985592</v>
      </c>
      <c r="AS488" s="61" t="str">
        <f t="shared" si="294"/>
        <v>-0.000600162470683075+0.000338798131706027i</v>
      </c>
      <c r="AT488" s="67">
        <f t="shared" si="295"/>
        <v>-63.233254400790628</v>
      </c>
      <c r="AU488" s="64">
        <f t="shared" si="296"/>
        <v>150.55480750143488</v>
      </c>
    </row>
    <row r="489" spans="14:47" x14ac:dyDescent="0.25">
      <c r="N489" s="11">
        <v>71</v>
      </c>
      <c r="O489" s="53">
        <f t="shared" si="297"/>
        <v>512861.38399136515</v>
      </c>
      <c r="P489" s="51" t="str">
        <f t="shared" si="265"/>
        <v>122.692307692308</v>
      </c>
      <c r="Q489" s="18" t="str">
        <f t="shared" si="266"/>
        <v>1+3302.96319032719i</v>
      </c>
      <c r="R489" s="18">
        <f t="shared" si="274"/>
        <v>3302.9633417064092</v>
      </c>
      <c r="S489" s="18">
        <f t="shared" si="275"/>
        <v>1.5704935683589643</v>
      </c>
      <c r="T489" s="18" t="str">
        <f t="shared" si="267"/>
        <v>1+0.660592638065438i</v>
      </c>
      <c r="U489" s="18">
        <f t="shared" si="276"/>
        <v>1.1984918161865998</v>
      </c>
      <c r="V489" s="18">
        <f t="shared" si="277"/>
        <v>0.58378571011911873</v>
      </c>
      <c r="W489" s="32" t="str">
        <f t="shared" si="268"/>
        <v>1-31.2919310512756i</v>
      </c>
      <c r="X489" s="18">
        <f t="shared" si="278"/>
        <v>31.30790553387093</v>
      </c>
      <c r="Y489" s="18">
        <f t="shared" si="279"/>
        <v>-1.5388500788107944</v>
      </c>
      <c r="Z489" s="32" t="str">
        <f t="shared" si="269"/>
        <v>-7.5886301776175+3.3392276192011i</v>
      </c>
      <c r="AA489" s="18">
        <f t="shared" si="280"/>
        <v>8.2908231838269515</v>
      </c>
      <c r="AB489" s="18">
        <f t="shared" si="281"/>
        <v>2.7270603491266407</v>
      </c>
      <c r="AC489" s="69" t="str">
        <f t="shared" si="282"/>
        <v>0.0864667459033227+0.144173390308405i</v>
      </c>
      <c r="AD489" s="67">
        <f t="shared" si="283"/>
        <v>-15.48789968310172</v>
      </c>
      <c r="AE489" s="64">
        <f t="shared" si="284"/>
        <v>59.047140808802176</v>
      </c>
      <c r="AF489" s="32" t="str">
        <f t="shared" si="270"/>
        <v>-0.0000198412698412698</v>
      </c>
      <c r="AG489" s="32" t="str">
        <f t="shared" si="271"/>
        <v>0.111495147692996i</v>
      </c>
      <c r="AH489" s="32">
        <f t="shared" si="285"/>
        <v>0.111495147692996</v>
      </c>
      <c r="AI489" s="32">
        <f t="shared" si="286"/>
        <v>1.5707963267948966</v>
      </c>
      <c r="AJ489" s="32" t="str">
        <f t="shared" si="272"/>
        <v>1+38.7001300509178i</v>
      </c>
      <c r="AK489" s="32">
        <f t="shared" si="287"/>
        <v>38.713047748245693</v>
      </c>
      <c r="AL489" s="32">
        <f t="shared" si="288"/>
        <v>1.5449623690193606</v>
      </c>
      <c r="AM489" s="32" t="str">
        <f t="shared" si="273"/>
        <v>1+836.890312351097i</v>
      </c>
      <c r="AN489" s="32">
        <f t="shared" si="289"/>
        <v>836.89090980074366</v>
      </c>
      <c r="AO489" s="32">
        <f t="shared" si="290"/>
        <v>1.5696014276434622</v>
      </c>
      <c r="AP489" s="61" t="str">
        <f t="shared" si="291"/>
        <v>-0.0000947774787833006+0.00384585710763809i</v>
      </c>
      <c r="AQ489" s="52">
        <f t="shared" si="292"/>
        <v>-48.297500323458905</v>
      </c>
      <c r="AR489" s="64">
        <f t="shared" si="293"/>
        <v>91.411714070336444</v>
      </c>
      <c r="AS489" s="61" t="str">
        <f t="shared" si="294"/>
        <v>-0.000562665358025173+0.000318874358865559i</v>
      </c>
      <c r="AT489" s="67">
        <f t="shared" si="295"/>
        <v>-63.785400006560621</v>
      </c>
      <c r="AU489" s="64">
        <f t="shared" si="296"/>
        <v>150.45885487913858</v>
      </c>
    </row>
    <row r="490" spans="14:47" x14ac:dyDescent="0.25">
      <c r="N490" s="11">
        <v>72</v>
      </c>
      <c r="O490" s="53">
        <f t="shared" si="297"/>
        <v>524807.46024977288</v>
      </c>
      <c r="P490" s="51" t="str">
        <f t="shared" si="265"/>
        <v>122.692307692308</v>
      </c>
      <c r="Q490" s="18" t="str">
        <f t="shared" si="266"/>
        <v>1+3379.8990864231i</v>
      </c>
      <c r="R490" s="18">
        <f t="shared" si="274"/>
        <v>3379.8992343565078</v>
      </c>
      <c r="S490" s="18">
        <f t="shared" si="275"/>
        <v>1.5705004599819383</v>
      </c>
      <c r="T490" s="18" t="str">
        <f t="shared" si="267"/>
        <v>1+0.675979817284621i</v>
      </c>
      <c r="U490" s="18">
        <f t="shared" si="276"/>
        <v>1.2070413055799498</v>
      </c>
      <c r="V490" s="18">
        <f t="shared" si="277"/>
        <v>0.59442248570603895</v>
      </c>
      <c r="W490" s="32" t="str">
        <f t="shared" si="268"/>
        <v>1-32.0208137597029i</v>
      </c>
      <c r="X490" s="18">
        <f t="shared" si="278"/>
        <v>32.036424797932405</v>
      </c>
      <c r="Y490" s="18">
        <f t="shared" si="279"/>
        <v>-1.5395767862854057</v>
      </c>
      <c r="Z490" s="32" t="str">
        <f t="shared" si="269"/>
        <v>-7.9933998476348+3.41700822235884i</v>
      </c>
      <c r="AA490" s="18">
        <f t="shared" si="280"/>
        <v>8.693122932285954</v>
      </c>
      <c r="AB490" s="18">
        <f t="shared" si="281"/>
        <v>2.7376243947107901</v>
      </c>
      <c r="AC490" s="69" t="str">
        <f t="shared" si="282"/>
        <v>0.08314310459789+0.13842411977079i</v>
      </c>
      <c r="AD490" s="67">
        <f t="shared" si="283"/>
        <v>-15.83792126001633</v>
      </c>
      <c r="AE490" s="64">
        <f t="shared" si="284"/>
        <v>59.00927579885861</v>
      </c>
      <c r="AF490" s="32" t="str">
        <f t="shared" si="270"/>
        <v>-0.0000198412698412698</v>
      </c>
      <c r="AG490" s="32" t="str">
        <f t="shared" si="271"/>
        <v>0.11409220330755i</v>
      </c>
      <c r="AH490" s="32">
        <f t="shared" si="285"/>
        <v>0.11409220330755</v>
      </c>
      <c r="AI490" s="32">
        <f t="shared" si="286"/>
        <v>1.5707963267948966</v>
      </c>
      <c r="AJ490" s="32" t="str">
        <f t="shared" si="272"/>
        <v>1+39.601571881458i</v>
      </c>
      <c r="AK490" s="32">
        <f t="shared" si="287"/>
        <v>39.61419563088824</v>
      </c>
      <c r="AL490" s="32">
        <f t="shared" si="288"/>
        <v>1.5455501689453395</v>
      </c>
      <c r="AM490" s="32" t="str">
        <f t="shared" si="273"/>
        <v>1+856.38399193653i</v>
      </c>
      <c r="AN490" s="32">
        <f t="shared" si="289"/>
        <v>856.38457578657187</v>
      </c>
      <c r="AO490" s="32">
        <f t="shared" si="290"/>
        <v>1.569628626843814</v>
      </c>
      <c r="AP490" s="61" t="str">
        <f t="shared" si="291"/>
        <v>-0.0000905145077981591+0.00375842235857094i</v>
      </c>
      <c r="AQ490" s="52">
        <f t="shared" si="292"/>
        <v>-48.497370177744124</v>
      </c>
      <c r="AR490" s="64">
        <f t="shared" si="293"/>
        <v>91.379594014766027</v>
      </c>
      <c r="AS490" s="61" t="str">
        <f t="shared" si="294"/>
        <v>-0.000527781963901528+0.000299957512213266i</v>
      </c>
      <c r="AT490" s="67">
        <f t="shared" si="295"/>
        <v>-64.335291437760446</v>
      </c>
      <c r="AU490" s="64">
        <f t="shared" si="296"/>
        <v>150.38886981362464</v>
      </c>
    </row>
    <row r="491" spans="14:47" x14ac:dyDescent="0.25">
      <c r="N491" s="11">
        <v>73</v>
      </c>
      <c r="O491" s="53">
        <f t="shared" si="297"/>
        <v>537031.7963702539</v>
      </c>
      <c r="P491" s="51" t="str">
        <f t="shared" si="265"/>
        <v>122.692307692308</v>
      </c>
      <c r="Q491" s="18" t="str">
        <f t="shared" si="266"/>
        <v>1+3458.62704975289i</v>
      </c>
      <c r="R491" s="18">
        <f t="shared" si="274"/>
        <v>3458.6271943189222</v>
      </c>
      <c r="S491" s="18">
        <f t="shared" si="275"/>
        <v>1.5705071947324485</v>
      </c>
      <c r="T491" s="18" t="str">
        <f t="shared" si="267"/>
        <v>1+0.691725409950578i</v>
      </c>
      <c r="U491" s="18">
        <f t="shared" si="276"/>
        <v>1.2159292918468965</v>
      </c>
      <c r="V491" s="18">
        <f t="shared" si="277"/>
        <v>0.60515093345722959</v>
      </c>
      <c r="W491" s="32" t="str">
        <f t="shared" si="268"/>
        <v>1-32.7666743274312i</v>
      </c>
      <c r="X491" s="18">
        <f t="shared" si="278"/>
        <v>32.781930182341895</v>
      </c>
      <c r="Y491" s="18">
        <f t="shared" si="279"/>
        <v>-1.5402869837527235</v>
      </c>
      <c r="Z491" s="32" t="str">
        <f t="shared" si="269"/>
        <v>-8.41724572449503+3.49660056850552i</v>
      </c>
      <c r="AA491" s="18">
        <f t="shared" si="280"/>
        <v>9.1146168938800169</v>
      </c>
      <c r="AB491" s="18">
        <f t="shared" si="281"/>
        <v>2.7478735383098516</v>
      </c>
      <c r="AC491" s="69" t="str">
        <f t="shared" si="282"/>
        <v>0.0799120142265296+0.132973113093279i</v>
      </c>
      <c r="AD491" s="67">
        <f t="shared" si="283"/>
        <v>-16.185639882138133</v>
      </c>
      <c r="AE491" s="64">
        <f t="shared" si="284"/>
        <v>58.995660713600351</v>
      </c>
      <c r="AF491" s="32" t="str">
        <f t="shared" si="270"/>
        <v>-0.0000198412698412698</v>
      </c>
      <c r="AG491" s="32" t="str">
        <f t="shared" si="271"/>
        <v>0.116749752118488i</v>
      </c>
      <c r="AH491" s="32">
        <f t="shared" si="285"/>
        <v>0.116749752118488</v>
      </c>
      <c r="AI491" s="32">
        <f t="shared" si="286"/>
        <v>1.5707963267948966</v>
      </c>
      <c r="AJ491" s="32" t="str">
        <f t="shared" si="272"/>
        <v>1+40.5240109895986i</v>
      </c>
      <c r="AK491" s="32">
        <f t="shared" si="287"/>
        <v>40.536347475877847</v>
      </c>
      <c r="AL491" s="32">
        <f t="shared" si="288"/>
        <v>1.546124605772927</v>
      </c>
      <c r="AM491" s="32" t="str">
        <f t="shared" si="273"/>
        <v>1+876.33173765007i</v>
      </c>
      <c r="AN491" s="32">
        <f t="shared" si="289"/>
        <v>876.33230821007112</v>
      </c>
      <c r="AO491" s="32">
        <f t="shared" si="290"/>
        <v>1.5696552069164473</v>
      </c>
      <c r="AP491" s="61" t="str">
        <f t="shared" si="291"/>
        <v>-0.0000864431630829714+0.00367297068833448i</v>
      </c>
      <c r="AQ491" s="52">
        <f t="shared" si="292"/>
        <v>-48.697245885895043</v>
      </c>
      <c r="AR491" s="64">
        <f t="shared" si="293"/>
        <v>91.348204134929432</v>
      </c>
      <c r="AS491" s="61" t="str">
        <f t="shared" si="294"/>
        <v>-0.000495314194006272+0.000282019869399038i</v>
      </c>
      <c r="AT491" s="67">
        <f t="shared" si="295"/>
        <v>-64.882885768033177</v>
      </c>
      <c r="AU491" s="64">
        <f t="shared" si="296"/>
        <v>150.34386484852979</v>
      </c>
    </row>
    <row r="492" spans="14:47" x14ac:dyDescent="0.25">
      <c r="N492" s="11">
        <v>74</v>
      </c>
      <c r="O492" s="53">
        <f t="shared" si="297"/>
        <v>549540.87385762564</v>
      </c>
      <c r="P492" s="51" t="str">
        <f t="shared" si="265"/>
        <v>122.692307692308</v>
      </c>
      <c r="Q492" s="18" t="str">
        <f t="shared" si="266"/>
        <v>1+3539.18882292478i</v>
      </c>
      <c r="R492" s="18">
        <f t="shared" si="274"/>
        <v>3539.1889642000874</v>
      </c>
      <c r="S492" s="18">
        <f t="shared" si="275"/>
        <v>1.5705137761813461</v>
      </c>
      <c r="T492" s="18" t="str">
        <f t="shared" si="267"/>
        <v>1+0.707837764584957i</v>
      </c>
      <c r="U492" s="18">
        <f t="shared" si="276"/>
        <v>1.225167050231367</v>
      </c>
      <c r="V492" s="18">
        <f t="shared" si="277"/>
        <v>0.61596686302946901</v>
      </c>
      <c r="W492" s="32" t="str">
        <f t="shared" si="268"/>
        <v>1-33.529908219606i</v>
      </c>
      <c r="X492" s="18">
        <f t="shared" si="278"/>
        <v>33.544816964997771</v>
      </c>
      <c r="Y492" s="18">
        <f t="shared" si="279"/>
        <v>-1.5409810449015289</v>
      </c>
      <c r="Z492" s="32" t="str">
        <f t="shared" si="269"/>
        <v>-8.86106684212905+3.57804685855659i</v>
      </c>
      <c r="AA492" s="18">
        <f t="shared" si="280"/>
        <v>9.556198245259754</v>
      </c>
      <c r="AB492" s="18">
        <f t="shared" si="281"/>
        <v>2.7578197520647674</v>
      </c>
      <c r="AC492" s="69" t="str">
        <f t="shared" si="282"/>
        <v>0.0767752135788182+0.12780243176464i</v>
      </c>
      <c r="AD492" s="67">
        <f t="shared" si="283"/>
        <v>-16.531016636920537</v>
      </c>
      <c r="AE492" s="64">
        <f t="shared" si="284"/>
        <v>59.00534789551314</v>
      </c>
      <c r="AF492" s="32" t="str">
        <f t="shared" si="270"/>
        <v>-0.0000198412698412698</v>
      </c>
      <c r="AG492" s="32" t="str">
        <f t="shared" si="271"/>
        <v>0.119469203193364i</v>
      </c>
      <c r="AH492" s="32">
        <f t="shared" si="285"/>
        <v>0.119469203193364</v>
      </c>
      <c r="AI492" s="32">
        <f t="shared" si="286"/>
        <v>1.5707963267948966</v>
      </c>
      <c r="AJ492" s="32" t="str">
        <f t="shared" si="272"/>
        <v>1+41.4679364647645i</v>
      </c>
      <c r="AK492" s="32">
        <f t="shared" si="287"/>
        <v>41.479992220897842</v>
      </c>
      <c r="AL492" s="32">
        <f t="shared" si="288"/>
        <v>1.5466859825588528</v>
      </c>
      <c r="AM492" s="32" t="str">
        <f t="shared" si="273"/>
        <v>1+896.744126050532i</v>
      </c>
      <c r="AN492" s="32">
        <f t="shared" si="289"/>
        <v>896.74468362301002</v>
      </c>
      <c r="AO492" s="32">
        <f t="shared" si="290"/>
        <v>1.5696811819543186</v>
      </c>
      <c r="AP492" s="61" t="str">
        <f t="shared" si="291"/>
        <v>-0.000082554841048153+0.00358945743507279i</v>
      </c>
      <c r="AQ492" s="52">
        <f t="shared" si="292"/>
        <v>-48.89712718476563</v>
      </c>
      <c r="AR492" s="64">
        <f t="shared" si="293"/>
        <v>91.317527874421955</v>
      </c>
      <c r="AS492" s="61" t="str">
        <f t="shared" si="294"/>
        <v>-0.000465079554471407+0.000265030651769893i</v>
      </c>
      <c r="AT492" s="67">
        <f t="shared" si="295"/>
        <v>-65.428143821686177</v>
      </c>
      <c r="AU492" s="64">
        <f t="shared" si="296"/>
        <v>150.32287576993511</v>
      </c>
    </row>
    <row r="493" spans="14:47" x14ac:dyDescent="0.25">
      <c r="N493" s="11">
        <v>75</v>
      </c>
      <c r="O493" s="53">
        <f t="shared" si="297"/>
        <v>562341.32519035018</v>
      </c>
      <c r="P493" s="51" t="str">
        <f t="shared" si="265"/>
        <v>122.692307692308</v>
      </c>
      <c r="Q493" s="18" t="str">
        <f t="shared" si="266"/>
        <v>1+3621.62712085731i</v>
      </c>
      <c r="R493" s="18">
        <f t="shared" si="274"/>
        <v>3621.6272589167988</v>
      </c>
      <c r="S493" s="18">
        <f t="shared" si="275"/>
        <v>1.5705202078182006</v>
      </c>
      <c r="T493" s="18" t="str">
        <f t="shared" si="267"/>
        <v>1+0.724325424171462i</v>
      </c>
      <c r="U493" s="18">
        <f t="shared" si="276"/>
        <v>1.2347660993488476</v>
      </c>
      <c r="V493" s="18">
        <f t="shared" si="277"/>
        <v>0.62686588692437561</v>
      </c>
      <c r="W493" s="32" t="str">
        <f t="shared" si="268"/>
        <v>1-34.3109201129397i</v>
      </c>
      <c r="X493" s="18">
        <f t="shared" si="278"/>
        <v>34.325489639574407</v>
      </c>
      <c r="Y493" s="18">
        <f t="shared" si="279"/>
        <v>-1.5416593350559498</v>
      </c>
      <c r="Z493" s="32" t="str">
        <f t="shared" si="269"/>
        <v>-9.3258046046314+3.66139027641314i</v>
      </c>
      <c r="AA493" s="18">
        <f t="shared" si="280"/>
        <v>10.018802836665513</v>
      </c>
      <c r="AB493" s="18">
        <f t="shared" si="281"/>
        <v>2.7674744436191503</v>
      </c>
      <c r="AC493" s="69" t="str">
        <f t="shared" si="282"/>
        <v>0.0737337354854546+0.122895236480099i</v>
      </c>
      <c r="AD493" s="67">
        <f t="shared" si="283"/>
        <v>-16.874016138498575</v>
      </c>
      <c r="AE493" s="64">
        <f t="shared" si="284"/>
        <v>59.037411218156123</v>
      </c>
      <c r="AF493" s="32" t="str">
        <f t="shared" si="270"/>
        <v>-0.0000198412698412698</v>
      </c>
      <c r="AG493" s="32" t="str">
        <f t="shared" si="271"/>
        <v>0.122251998421134i</v>
      </c>
      <c r="AH493" s="32">
        <f t="shared" si="285"/>
        <v>0.122251998421134</v>
      </c>
      <c r="AI493" s="32">
        <f t="shared" si="286"/>
        <v>1.5707963267948966</v>
      </c>
      <c r="AJ493" s="32" t="str">
        <f t="shared" si="272"/>
        <v>1+42.4338487887371i</v>
      </c>
      <c r="AK493" s="32">
        <f t="shared" si="287"/>
        <v>42.445630199413998</v>
      </c>
      <c r="AL493" s="32">
        <f t="shared" si="288"/>
        <v>1.5472345955363935</v>
      </c>
      <c r="AM493" s="32" t="str">
        <f t="shared" si="273"/>
        <v>1+917.631980056441i</v>
      </c>
      <c r="AN493" s="32">
        <f t="shared" si="289"/>
        <v>917.63252493702748</v>
      </c>
      <c r="AO493" s="32">
        <f t="shared" si="290"/>
        <v>1.5697065657295959</v>
      </c>
      <c r="AP493" s="61" t="str">
        <f t="shared" si="291"/>
        <v>-0.0000788413234829141+0.00350783892168767i</v>
      </c>
      <c r="AQ493" s="52">
        <f t="shared" si="292"/>
        <v>-49.097013823025407</v>
      </c>
      <c r="AR493" s="64">
        <f t="shared" si="293"/>
        <v>91.287549049414281</v>
      </c>
      <c r="AS493" s="61" t="str">
        <f t="shared" si="294"/>
        <v>-0.000436909959105914+0.000248956844083464i</v>
      </c>
      <c r="AT493" s="67">
        <f t="shared" si="295"/>
        <v>-65.971029961523982</v>
      </c>
      <c r="AU493" s="64">
        <f t="shared" si="296"/>
        <v>150.32496026757042</v>
      </c>
    </row>
    <row r="494" spans="14:47" x14ac:dyDescent="0.25">
      <c r="N494" s="11">
        <v>76</v>
      </c>
      <c r="O494" s="53">
        <f t="shared" si="297"/>
        <v>575439.93733715697</v>
      </c>
      <c r="P494" s="51" t="str">
        <f t="shared" si="265"/>
        <v>122.692307692308</v>
      </c>
      <c r="Q494" s="18" t="str">
        <f t="shared" si="266"/>
        <v>1+3705.9856534272i</v>
      </c>
      <c r="R494" s="18">
        <f t="shared" si="274"/>
        <v>3705.9857883440723</v>
      </c>
      <c r="S494" s="18">
        <f t="shared" si="275"/>
        <v>1.5705264930531482</v>
      </c>
      <c r="T494" s="18" t="str">
        <f t="shared" si="267"/>
        <v>1+0.741197130685441i</v>
      </c>
      <c r="U494" s="18">
        <f t="shared" si="276"/>
        <v>1.2447381999988314</v>
      </c>
      <c r="V494" s="18">
        <f t="shared" si="277"/>
        <v>0.63784342670262717</v>
      </c>
      <c r="W494" s="32" t="str">
        <f t="shared" si="268"/>
        <v>1-35.1101241102759i</v>
      </c>
      <c r="X494" s="18">
        <f t="shared" si="278"/>
        <v>35.124362129994289</v>
      </c>
      <c r="Y494" s="18">
        <f t="shared" si="279"/>
        <v>-1.5423222113564472</v>
      </c>
      <c r="Z494" s="32" t="str">
        <f t="shared" si="269"/>
        <v>-9.812444783105+3.74667501185845i</v>
      </c>
      <c r="AA494" s="18">
        <f t="shared" si="280"/>
        <v>10.503411172850896</v>
      </c>
      <c r="AB494" s="18">
        <f t="shared" si="281"/>
        <v>2.7768484836691032</v>
      </c>
      <c r="AC494" s="69" t="str">
        <f t="shared" si="282"/>
        <v>0.0707880063746767+0.118235729928i</v>
      </c>
      <c r="AD494" s="67">
        <f t="shared" si="283"/>
        <v>-17.214606349894684</v>
      </c>
      <c r="AE494" s="64">
        <f t="shared" si="284"/>
        <v>59.090944853244572</v>
      </c>
      <c r="AF494" s="32" t="str">
        <f t="shared" si="270"/>
        <v>-0.0000198412698412698</v>
      </c>
      <c r="AG494" s="32" t="str">
        <f t="shared" si="271"/>
        <v>0.125099613276664i</v>
      </c>
      <c r="AH494" s="32">
        <f t="shared" si="285"/>
        <v>0.125099613276664</v>
      </c>
      <c r="AI494" s="32">
        <f t="shared" si="286"/>
        <v>1.5707963267948966</v>
      </c>
      <c r="AJ494" s="32" t="str">
        <f t="shared" si="272"/>
        <v>1+43.4222601010158i</v>
      </c>
      <c r="AK494" s="32">
        <f t="shared" si="287"/>
        <v>43.433773405959897</v>
      </c>
      <c r="AL494" s="32">
        <f t="shared" si="288"/>
        <v>1.5477707342656988</v>
      </c>
      <c r="AM494" s="32" t="str">
        <f t="shared" si="273"/>
        <v>1+939.006374684466i</v>
      </c>
      <c r="AN494" s="32">
        <f t="shared" si="289"/>
        <v>939.00690716206316</v>
      </c>
      <c r="AO494" s="32">
        <f t="shared" si="290"/>
        <v>1.5697313717009624</v>
      </c>
      <c r="AP494" s="61" t="str">
        <f t="shared" si="291"/>
        <v>-0.0000752947603725219+0.00342807243554255i</v>
      </c>
      <c r="AQ494" s="52">
        <f t="shared" si="292"/>
        <v>-49.296905560629831</v>
      </c>
      <c r="AR494" s="64">
        <f t="shared" si="293"/>
        <v>91.258251840457604</v>
      </c>
      <c r="AS494" s="61" t="str">
        <f t="shared" si="294"/>
        <v>-0.00041065061263966+0.000233763882467641i</v>
      </c>
      <c r="AT494" s="67">
        <f t="shared" si="295"/>
        <v>-66.511511910524504</v>
      </c>
      <c r="AU494" s="64">
        <f t="shared" si="296"/>
        <v>150.34919669370214</v>
      </c>
    </row>
    <row r="495" spans="14:47" x14ac:dyDescent="0.25">
      <c r="N495" s="11">
        <v>77</v>
      </c>
      <c r="O495" s="53">
        <f t="shared" si="297"/>
        <v>588843.65535558888</v>
      </c>
      <c r="P495" s="51" t="str">
        <f t="shared" si="265"/>
        <v>122.692307692308</v>
      </c>
      <c r="Q495" s="18" t="str">
        <f t="shared" si="266"/>
        <v>1+3792.30914864506i</v>
      </c>
      <c r="R495" s="18">
        <f t="shared" si="274"/>
        <v>3792.3092804908488</v>
      </c>
      <c r="S495" s="18">
        <f t="shared" si="275"/>
        <v>1.5705326352187023</v>
      </c>
      <c r="T495" s="18" t="str">
        <f t="shared" si="267"/>
        <v>1+0.758461829729014i</v>
      </c>
      <c r="U495" s="18">
        <f t="shared" si="276"/>
        <v>1.2550953538101732</v>
      </c>
      <c r="V495" s="18">
        <f t="shared" si="277"/>
        <v>0.64889472019067085</v>
      </c>
      <c r="W495" s="32" t="str">
        <f t="shared" si="268"/>
        <v>1-35.9279439601529i</v>
      </c>
      <c r="X495" s="18">
        <f t="shared" si="278"/>
        <v>35.94185800990104</v>
      </c>
      <c r="Y495" s="18">
        <f t="shared" si="279"/>
        <v>-1.5429700229373071</v>
      </c>
      <c r="Z495" s="32" t="str">
        <f t="shared" si="269"/>
        <v>-10.3220196066133+3.83394628398816i</v>
      </c>
      <c r="AA495" s="18">
        <f t="shared" si="280"/>
        <v>11.01105048884147</v>
      </c>
      <c r="AB495" s="18">
        <f t="shared" si="281"/>
        <v>2.7859522326818134</v>
      </c>
      <c r="AC495" s="69" t="str">
        <f t="shared" si="282"/>
        <v>0.0679379340819193+0.113809100214656i</v>
      </c>
      <c r="AD495" s="67">
        <f t="shared" si="283"/>
        <v>-17.552758434721749</v>
      </c>
      <c r="AE495" s="64">
        <f t="shared" si="284"/>
        <v>59.165062142428916</v>
      </c>
      <c r="AF495" s="32" t="str">
        <f t="shared" si="270"/>
        <v>-0.0000198412698412698</v>
      </c>
      <c r="AG495" s="32" t="str">
        <f t="shared" si="271"/>
        <v>0.128013557603043i</v>
      </c>
      <c r="AH495" s="32">
        <f t="shared" si="285"/>
        <v>0.128013557603043</v>
      </c>
      <c r="AI495" s="32">
        <f t="shared" si="286"/>
        <v>1.5707963267948966</v>
      </c>
      <c r="AJ495" s="32" t="str">
        <f t="shared" si="272"/>
        <v>1+44.4336944703616i</v>
      </c>
      <c r="AK495" s="32">
        <f t="shared" si="287"/>
        <v>44.444945767606058</v>
      </c>
      <c r="AL495" s="32">
        <f t="shared" si="288"/>
        <v>1.548294681781031</v>
      </c>
      <c r="AM495" s="32" t="str">
        <f t="shared" si="273"/>
        <v>1+960.87864292157i</v>
      </c>
      <c r="AN495" s="32">
        <f t="shared" si="289"/>
        <v>960.87916327850417</v>
      </c>
      <c r="AO495" s="32">
        <f t="shared" si="290"/>
        <v>1.5697556130207502</v>
      </c>
      <c r="AP495" s="61" t="str">
        <f t="shared" si="291"/>
        <v>-0.0000719076534746822+0.00335011620848771i</v>
      </c>
      <c r="AQ495" s="52">
        <f t="shared" si="292"/>
        <v>-49.496802168314495</v>
      </c>
      <c r="AR495" s="64">
        <f t="shared" si="293"/>
        <v>91.229620784456372</v>
      </c>
      <c r="AS495" s="61" t="str">
        <f t="shared" si="294"/>
        <v>-0.00038615896872427+0.000219416228798507i</v>
      </c>
      <c r="AT495" s="67">
        <f t="shared" si="295"/>
        <v>-67.049560603036241</v>
      </c>
      <c r="AU495" s="64">
        <f t="shared" si="296"/>
        <v>150.39468292688525</v>
      </c>
    </row>
    <row r="496" spans="14:47" x14ac:dyDescent="0.25">
      <c r="N496" s="11">
        <v>78</v>
      </c>
      <c r="O496" s="53">
        <f t="shared" si="297"/>
        <v>602559.58607435878</v>
      </c>
      <c r="P496" s="51" t="str">
        <f t="shared" si="265"/>
        <v>122.692307692308</v>
      </c>
      <c r="Q496" s="18" t="str">
        <f t="shared" si="266"/>
        <v>1+3880.64337637069i</v>
      </c>
      <c r="R496" s="18">
        <f t="shared" si="274"/>
        <v>3880.6435052153024</v>
      </c>
      <c r="S496" s="18">
        <f t="shared" si="275"/>
        <v>1.5705386375715182</v>
      </c>
      <c r="T496" s="18" t="str">
        <f t="shared" si="267"/>
        <v>1+0.776128675274138i</v>
      </c>
      <c r="U496" s="18">
        <f t="shared" si="276"/>
        <v>1.2658498017469484</v>
      </c>
      <c r="V496" s="18">
        <f t="shared" si="277"/>
        <v>0.6600148296705115</v>
      </c>
      <c r="W496" s="32" t="str">
        <f t="shared" si="268"/>
        <v>1-36.7648132814801i</v>
      </c>
      <c r="X496" s="18">
        <f t="shared" si="278"/>
        <v>36.778410727247255</v>
      </c>
      <c r="Y496" s="18">
        <f t="shared" si="279"/>
        <v>-1.5436031111006756</v>
      </c>
      <c r="Z496" s="32" t="str">
        <f t="shared" si="269"/>
        <v>-10.8556099516767+3.92325036518592i</v>
      </c>
      <c r="AA496" s="18">
        <f t="shared" si="280"/>
        <v>11.542796924960331</v>
      </c>
      <c r="AB496" s="18">
        <f t="shared" si="281"/>
        <v>2.7947955666921414</v>
      </c>
      <c r="AC496" s="69" t="str">
        <f t="shared" si="282"/>
        <v>0.065182985178329+0.109601465468354i</v>
      </c>
      <c r="AD496" s="67">
        <f t="shared" si="283"/>
        <v>-17.888446634371693</v>
      </c>
      <c r="AE496" s="64">
        <f t="shared" si="284"/>
        <v>59.258894578426585</v>
      </c>
      <c r="AF496" s="32" t="str">
        <f t="shared" si="270"/>
        <v>-0.0000198412698412698</v>
      </c>
      <c r="AG496" s="32" t="str">
        <f t="shared" si="271"/>
        <v>0.130995376412123i</v>
      </c>
      <c r="AH496" s="32">
        <f t="shared" si="285"/>
        <v>0.130995376412123</v>
      </c>
      <c r="AI496" s="32">
        <f t="shared" si="286"/>
        <v>1.5707963267948966</v>
      </c>
      <c r="AJ496" s="32" t="str">
        <f t="shared" si="272"/>
        <v>1+45.4686881726651i</v>
      </c>
      <c r="AK496" s="32">
        <f t="shared" si="287"/>
        <v>45.479683421754984</v>
      </c>
      <c r="AL496" s="32">
        <f t="shared" si="288"/>
        <v>1.5488067147349618</v>
      </c>
      <c r="AM496" s="32" t="str">
        <f t="shared" si="273"/>
        <v>1+983.260381733884i</v>
      </c>
      <c r="AN496" s="32">
        <f t="shared" si="289"/>
        <v>983.26089024605426</v>
      </c>
      <c r="AO496" s="32">
        <f t="shared" si="290"/>
        <v>1.5697793025419138</v>
      </c>
      <c r="AP496" s="61" t="str">
        <f t="shared" si="291"/>
        <v>-0.0000686728406221235+0.00327392939720864i</v>
      </c>
      <c r="AQ496" s="52">
        <f t="shared" si="292"/>
        <v>-49.696703427112261</v>
      </c>
      <c r="AR496" s="64">
        <f t="shared" si="293"/>
        <v>91.201640766805866</v>
      </c>
      <c r="AS496" s="61" t="str">
        <f t="shared" si="294"/>
        <v>-0.000363303760526417+0.000205877847403087i</v>
      </c>
      <c r="AT496" s="67">
        <f t="shared" si="295"/>
        <v>-67.585150061483958</v>
      </c>
      <c r="AU496" s="64">
        <f t="shared" si="296"/>
        <v>150.46053534523242</v>
      </c>
    </row>
    <row r="497" spans="14:47" x14ac:dyDescent="0.25">
      <c r="N497" s="11">
        <v>79</v>
      </c>
      <c r="O497" s="53">
        <f t="shared" si="297"/>
        <v>616595.00186148309</v>
      </c>
      <c r="P497" s="51" t="str">
        <f t="shared" si="265"/>
        <v>122.692307692308</v>
      </c>
      <c r="Q497" s="18" t="str">
        <f t="shared" si="266"/>
        <v>1+3971.03517258085i</v>
      </c>
      <c r="R497" s="18">
        <f t="shared" si="274"/>
        <v>3971.0352984926012</v>
      </c>
      <c r="S497" s="18">
        <f t="shared" si="275"/>
        <v>1.5705445032941212</v>
      </c>
      <c r="T497" s="18" t="str">
        <f t="shared" si="267"/>
        <v>1+0.794207034516171i</v>
      </c>
      <c r="U497" s="18">
        <f t="shared" si="276"/>
        <v>1.2770140225052231</v>
      </c>
      <c r="V497" s="18">
        <f t="shared" si="277"/>
        <v>0.67119865103417808</v>
      </c>
      <c r="W497" s="32" t="str">
        <f t="shared" si="268"/>
        <v>1-37.621175793449i</v>
      </c>
      <c r="X497" s="18">
        <f t="shared" si="278"/>
        <v>37.634463834118762</v>
      </c>
      <c r="Y497" s="18">
        <f t="shared" si="279"/>
        <v>-1.5442218094871776</v>
      </c>
      <c r="Z497" s="32" t="str">
        <f t="shared" si="269"/>
        <v>-11.4143476349571+4.01463460565767i</v>
      </c>
      <c r="AA497" s="18">
        <f t="shared" si="280"/>
        <v>12.099777805753082</v>
      </c>
      <c r="AB497" s="18">
        <f t="shared" si="281"/>
        <v>2.8033879021148254</v>
      </c>
      <c r="AC497" s="69" t="str">
        <f t="shared" si="282"/>
        <v>0.0625222529646668+0.105599820026993i</v>
      </c>
      <c r="AD497" s="67">
        <f t="shared" si="283"/>
        <v>-18.2216481669697</v>
      </c>
      <c r="AE497" s="64">
        <f t="shared" si="284"/>
        <v>59.371590898025488</v>
      </c>
      <c r="AF497" s="32" t="str">
        <f t="shared" si="270"/>
        <v>-0.0000198412698412698</v>
      </c>
      <c r="AG497" s="32" t="str">
        <f t="shared" si="271"/>
        <v>0.134046650703705i</v>
      </c>
      <c r="AH497" s="32">
        <f t="shared" si="285"/>
        <v>0.134046650703705</v>
      </c>
      <c r="AI497" s="32">
        <f t="shared" si="286"/>
        <v>1.5707963267948966</v>
      </c>
      <c r="AJ497" s="32" t="str">
        <f t="shared" si="272"/>
        <v>1+46.5277899752871i</v>
      </c>
      <c r="AK497" s="32">
        <f t="shared" si="287"/>
        <v>46.538535000410427</v>
      </c>
      <c r="AL497" s="32">
        <f t="shared" si="288"/>
        <v>1.5493071035395762</v>
      </c>
      <c r="AM497" s="32" t="str">
        <f t="shared" si="273"/>
        <v>1+1006.16345821558i</v>
      </c>
      <c r="AN497" s="32">
        <f t="shared" si="289"/>
        <v>1006.1639551526059</v>
      </c>
      <c r="AO497" s="32">
        <f t="shared" si="290"/>
        <v>1.5698024528248444</v>
      </c>
      <c r="AP497" s="61" t="str">
        <f t="shared" si="291"/>
        <v>-0.000065583480719836+0.00319947206389926i</v>
      </c>
      <c r="AQ497" s="52">
        <f t="shared" si="292"/>
        <v>-49.896609127891466</v>
      </c>
      <c r="AR497" s="64">
        <f t="shared" si="293"/>
        <v>91.174297013692325</v>
      </c>
      <c r="AS497" s="61" t="str">
        <f t="shared" si="294"/>
        <v>-0.000341964101101023+0.000193112597971736i</v>
      </c>
      <c r="AT497" s="67">
        <f t="shared" si="295"/>
        <v>-68.118257294861152</v>
      </c>
      <c r="AU497" s="64">
        <f t="shared" si="296"/>
        <v>150.54588791171781</v>
      </c>
    </row>
    <row r="498" spans="14:47" x14ac:dyDescent="0.25">
      <c r="N498" s="11">
        <v>80</v>
      </c>
      <c r="O498" s="53">
        <f t="shared" si="297"/>
        <v>630957.34448019415</v>
      </c>
      <c r="P498" s="51" t="str">
        <f t="shared" si="265"/>
        <v>122.692307692308</v>
      </c>
      <c r="Q498" s="18" t="str">
        <f t="shared" si="266"/>
        <v>1+4063.53246420237i</v>
      </c>
      <c r="R498" s="18">
        <f t="shared" si="274"/>
        <v>4063.5325872480203</v>
      </c>
      <c r="S498" s="18">
        <f t="shared" si="275"/>
        <v>1.5705502354965934</v>
      </c>
      <c r="T498" s="18" t="str">
        <f t="shared" si="267"/>
        <v>1+0.812706492840476i</v>
      </c>
      <c r="U498" s="18">
        <f t="shared" si="276"/>
        <v>1.2886007308336693</v>
      </c>
      <c r="V498" s="18">
        <f t="shared" si="277"/>
        <v>0.68244092387516508</v>
      </c>
      <c r="W498" s="32" t="str">
        <f t="shared" si="268"/>
        <v>1-38.4974855507987i</v>
      </c>
      <c r="X498" s="18">
        <f t="shared" si="278"/>
        <v>38.510471221915147</v>
      </c>
      <c r="Y498" s="18">
        <f t="shared" si="279"/>
        <v>-1.544826444243161</v>
      </c>
      <c r="Z498" s="32" t="str">
        <f t="shared" si="269"/>
        <v>-11.9994178139917+4.10814745853729i</v>
      </c>
      <c r="AA498" s="18">
        <f t="shared" si="280"/>
        <v>12.68317402765679</v>
      </c>
      <c r="AB498" s="18">
        <f t="shared" si="281"/>
        <v>2.8117382195332148</v>
      </c>
      <c r="AC498" s="69" t="str">
        <f t="shared" si="282"/>
        <v>0.0599545171652557+0.101791982502695i</v>
      </c>
      <c r="AD498" s="67">
        <f t="shared" si="283"/>
        <v>-18.552343144658586</v>
      </c>
      <c r="AE498" s="64">
        <f t="shared" si="284"/>
        <v>59.502316287606519</v>
      </c>
      <c r="AF498" s="32" t="str">
        <f t="shared" si="270"/>
        <v>-0.0000198412698412698</v>
      </c>
      <c r="AG498" s="32" t="str">
        <f t="shared" si="271"/>
        <v>0.137168998303807i</v>
      </c>
      <c r="AH498" s="32">
        <f t="shared" si="285"/>
        <v>0.13716899830380699</v>
      </c>
      <c r="AI498" s="32">
        <f t="shared" si="286"/>
        <v>1.5707963267948966</v>
      </c>
      <c r="AJ498" s="32" t="str">
        <f t="shared" si="272"/>
        <v>1+47.6115614280219i</v>
      </c>
      <c r="AK498" s="32">
        <f t="shared" si="287"/>
        <v>47.622061921070809</v>
      </c>
      <c r="AL498" s="32">
        <f t="shared" si="288"/>
        <v>1.5497961125047326</v>
      </c>
      <c r="AM498" s="32" t="str">
        <f t="shared" si="273"/>
        <v>1+1029.60001588097i</v>
      </c>
      <c r="AN498" s="32">
        <f t="shared" si="289"/>
        <v>1029.6005015063338</v>
      </c>
      <c r="AO498" s="32">
        <f t="shared" si="290"/>
        <v>1.5698250761440293</v>
      </c>
      <c r="AP498" s="61" t="str">
        <f t="shared" si="291"/>
        <v>-0.0000626330394067449+0.00312670515726039i</v>
      </c>
      <c r="AQ498" s="52">
        <f t="shared" si="292"/>
        <v>-50.096519070915086</v>
      </c>
      <c r="AR498" s="64">
        <f t="shared" si="293"/>
        <v>91.14757508455267</v>
      </c>
      <c r="AS498" s="61" t="str">
        <f t="shared" si="294"/>
        <v>-0.00032202865029516+0.00018108455677028i</v>
      </c>
      <c r="AT498" s="67">
        <f t="shared" si="295"/>
        <v>-68.648862215573658</v>
      </c>
      <c r="AU498" s="64">
        <f t="shared" si="296"/>
        <v>150.64989137215917</v>
      </c>
    </row>
    <row r="499" spans="14:47" x14ac:dyDescent="0.25">
      <c r="N499" s="11">
        <v>81</v>
      </c>
      <c r="O499" s="53">
        <f t="shared" si="297"/>
        <v>645654.22903465747</v>
      </c>
      <c r="P499" s="51" t="str">
        <f t="shared" si="265"/>
        <v>122.692307692308</v>
      </c>
      <c r="Q499" s="18" t="str">
        <f t="shared" si="266"/>
        <v>1+4158.18429452364i</v>
      </c>
      <c r="R499" s="18">
        <f t="shared" si="274"/>
        <v>4158.1844147684296</v>
      </c>
      <c r="S499" s="18">
        <f t="shared" si="275"/>
        <v>1.5705558372182229</v>
      </c>
      <c r="T499" s="18" t="str">
        <f t="shared" si="267"/>
        <v>1+0.831636858904729i</v>
      </c>
      <c r="U499" s="18">
        <f t="shared" si="276"/>
        <v>1.3006228758133251</v>
      </c>
      <c r="V499" s="18">
        <f t="shared" si="277"/>
        <v>0.69373624247987553</v>
      </c>
      <c r="W499" s="32" t="str">
        <f t="shared" si="268"/>
        <v>1-39.3942071845619i</v>
      </c>
      <c r="X499" s="18">
        <f t="shared" si="278"/>
        <v>39.406897362012508</v>
      </c>
      <c r="Y499" s="18">
        <f t="shared" si="279"/>
        <v>-1.5454173341846098</v>
      </c>
      <c r="Z499" s="32" t="str">
        <f t="shared" si="269"/>
        <v>-12.6120615010722+4.20383850557721i</v>
      </c>
      <c r="AA499" s="18">
        <f t="shared" si="280"/>
        <v>13.294222560488491</v>
      </c>
      <c r="AB499" s="18">
        <f t="shared" si="281"/>
        <v>2.819855086444381</v>
      </c>
      <c r="AC499" s="69" t="str">
        <f t="shared" si="282"/>
        <v>0.0574782962526189+0.0981665459269171i</v>
      </c>
      <c r="AD499" s="67">
        <f t="shared" si="283"/>
        <v>-18.880514506047785</v>
      </c>
      <c r="AE499" s="64">
        <f t="shared" si="284"/>
        <v>59.650251700223656</v>
      </c>
      <c r="AF499" s="32" t="str">
        <f t="shared" si="270"/>
        <v>-0.0000198412698412698</v>
      </c>
      <c r="AG499" s="32" t="str">
        <f t="shared" si="271"/>
        <v>0.140364074722457i</v>
      </c>
      <c r="AH499" s="32">
        <f t="shared" si="285"/>
        <v>0.14036407472245699</v>
      </c>
      <c r="AI499" s="32">
        <f t="shared" si="286"/>
        <v>1.5707963267948966</v>
      </c>
      <c r="AJ499" s="32" t="str">
        <f t="shared" si="272"/>
        <v>1+48.7205771608396i</v>
      </c>
      <c r="AK499" s="32">
        <f t="shared" si="287"/>
        <v>48.730838684403182</v>
      </c>
      <c r="AL499" s="32">
        <f t="shared" si="288"/>
        <v>1.5502739999734281</v>
      </c>
      <c r="AM499" s="32" t="str">
        <f t="shared" si="273"/>
        <v>1+1053.58248110316i</v>
      </c>
      <c r="AN499" s="32">
        <f t="shared" si="289"/>
        <v>1053.5829556743458</v>
      </c>
      <c r="AO499" s="32">
        <f t="shared" si="290"/>
        <v>1.569847184494559</v>
      </c>
      <c r="AP499" s="61" t="str">
        <f t="shared" si="291"/>
        <v>-0.0000598152753528493+0.0030555904938238i</v>
      </c>
      <c r="AQ499" s="52">
        <f t="shared" si="292"/>
        <v>-50.296433065419535</v>
      </c>
      <c r="AR499" s="64">
        <f t="shared" si="293"/>
        <v>91.121460864691585</v>
      </c>
      <c r="AS499" s="61" t="str">
        <f t="shared" si="294"/>
        <v>-0.000303394844662968+0.000169758276655634i</v>
      </c>
      <c r="AT499" s="67">
        <f t="shared" si="295"/>
        <v>-69.176947571467323</v>
      </c>
      <c r="AU499" s="64">
        <f t="shared" si="296"/>
        <v>150.77171256491519</v>
      </c>
    </row>
    <row r="500" spans="14:47" x14ac:dyDescent="0.25">
      <c r="N500" s="11">
        <v>82</v>
      </c>
      <c r="O500" s="53">
        <f t="shared" si="297"/>
        <v>660693.44800759677</v>
      </c>
      <c r="P500" s="51" t="str">
        <f t="shared" si="265"/>
        <v>122.692307692308</v>
      </c>
      <c r="Q500" s="18" t="str">
        <f t="shared" si="266"/>
        <v>1+4255.04084919793i</v>
      </c>
      <c r="R500" s="18">
        <f t="shared" si="274"/>
        <v>4255.0409667056128</v>
      </c>
      <c r="S500" s="18">
        <f t="shared" si="275"/>
        <v>1.5705613114291153</v>
      </c>
      <c r="T500" s="18" t="str">
        <f t="shared" si="267"/>
        <v>1+0.851008169839587i</v>
      </c>
      <c r="U500" s="18">
        <f t="shared" si="276"/>
        <v>1.3130936391338295</v>
      </c>
      <c r="V500" s="18">
        <f t="shared" si="277"/>
        <v>0.7050790676728047</v>
      </c>
      <c r="W500" s="32" t="str">
        <f t="shared" si="268"/>
        <v>1-40.3118161484183i</v>
      </c>
      <c r="X500" s="18">
        <f t="shared" si="278"/>
        <v>40.324217552035378</v>
      </c>
      <c r="Y500" s="18">
        <f t="shared" si="279"/>
        <v>-1.5459947909577687</v>
      </c>
      <c r="Z500" s="32" t="str">
        <f t="shared" si="269"/>
        <v>-13.2535781955972+4.30175848343715i</v>
      </c>
      <c r="AA500" s="18">
        <f t="shared" si="280"/>
        <v>13.934219068058066</v>
      </c>
      <c r="AB500" s="18">
        <f t="shared" si="281"/>
        <v>2.8277466789553256</v>
      </c>
      <c r="AC500" s="69" t="str">
        <f t="shared" si="282"/>
        <v>0.0550918932375798+0.0947128301074884i</v>
      </c>
      <c r="AD500" s="67">
        <f t="shared" si="283"/>
        <v>-19.206147960919633</v>
      </c>
      <c r="AE500" s="64">
        <f t="shared" si="284"/>
        <v>59.814593281885486</v>
      </c>
      <c r="AF500" s="32" t="str">
        <f t="shared" si="270"/>
        <v>-0.0000198412698412698</v>
      </c>
      <c r="AG500" s="32" t="str">
        <f t="shared" si="271"/>
        <v>0.143633574031462i</v>
      </c>
      <c r="AH500" s="32">
        <f t="shared" si="285"/>
        <v>0.14363357403146201</v>
      </c>
      <c r="AI500" s="32">
        <f t="shared" si="286"/>
        <v>1.5707963267948966</v>
      </c>
      <c r="AJ500" s="32" t="str">
        <f t="shared" si="272"/>
        <v>1+49.8554251885609i</v>
      </c>
      <c r="AK500" s="32">
        <f t="shared" si="287"/>
        <v>49.865453178851112</v>
      </c>
      <c r="AL500" s="32">
        <f t="shared" si="288"/>
        <v>1.5507410184543173</v>
      </c>
      <c r="AM500" s="32" t="str">
        <f t="shared" si="273"/>
        <v>1+1078.12356970263i</v>
      </c>
      <c r="AN500" s="32">
        <f t="shared" si="289"/>
        <v>1078.1240334712616</v>
      </c>
      <c r="AO500" s="32">
        <f t="shared" si="290"/>
        <v>1.5698687895984873</v>
      </c>
      <c r="AP500" s="61" t="str">
        <f t="shared" si="291"/>
        <v>-0.0000571242271641054+0.00298609073960154i</v>
      </c>
      <c r="AQ500" s="52">
        <f t="shared" si="292"/>
        <v>-50.496350929212142</v>
      </c>
      <c r="AR500" s="64">
        <f t="shared" si="293"/>
        <v>91.095940558053044</v>
      </c>
      <c r="AS500" s="61" t="str">
        <f t="shared" si="294"/>
        <v>-0.000285968186729629+0.000159098995001438i</v>
      </c>
      <c r="AT500" s="67">
        <f t="shared" si="295"/>
        <v>-69.702498890131778</v>
      </c>
      <c r="AU500" s="64">
        <f t="shared" si="296"/>
        <v>150.91053383993855</v>
      </c>
    </row>
    <row r="501" spans="14:47" x14ac:dyDescent="0.25">
      <c r="N501" s="11">
        <v>83</v>
      </c>
      <c r="O501" s="53">
        <f t="shared" si="297"/>
        <v>676082.97539198259</v>
      </c>
      <c r="P501" s="51" t="str">
        <f t="shared" si="265"/>
        <v>122.692307692308</v>
      </c>
      <c r="Q501" s="18" t="str">
        <f t="shared" si="266"/>
        <v>1+4354.15348285259i</v>
      </c>
      <c r="R501" s="18">
        <f t="shared" si="274"/>
        <v>4354.1535976854721</v>
      </c>
      <c r="S501" s="18">
        <f t="shared" si="275"/>
        <v>1.5705666610317681</v>
      </c>
      <c r="T501" s="18" t="str">
        <f t="shared" si="267"/>
        <v>1+0.870830696570519i</v>
      </c>
      <c r="U501" s="18">
        <f t="shared" si="276"/>
        <v>1.326026433405268</v>
      </c>
      <c r="V501" s="18">
        <f t="shared" si="277"/>
        <v>0.71646373946024355</v>
      </c>
      <c r="W501" s="32" t="str">
        <f t="shared" si="268"/>
        <v>1-41.2507989707866i</v>
      </c>
      <c r="X501" s="18">
        <f t="shared" si="278"/>
        <v>41.262918167868946</v>
      </c>
      <c r="Y501" s="18">
        <f t="shared" si="279"/>
        <v>-1.5465591191965273</v>
      </c>
      <c r="Z501" s="32" t="str">
        <f t="shared" si="269"/>
        <v>-13.9253286404857+4.40195931058552i</v>
      </c>
      <c r="AA501" s="18">
        <f t="shared" si="280"/>
        <v>14.604520653468292</v>
      </c>
      <c r="AB501" s="18">
        <f t="shared" si="281"/>
        <v>2.8354208024371061</v>
      </c>
      <c r="AC501" s="69" t="str">
        <f t="shared" si="282"/>
        <v>0.0527934356717737+0.0914208362715202i</v>
      </c>
      <c r="AD501" s="67">
        <f t="shared" si="283"/>
        <v>-19.529231944538672</v>
      </c>
      <c r="AE501" s="64">
        <f t="shared" si="284"/>
        <v>59.994551903484087</v>
      </c>
      <c r="AF501" s="32" t="str">
        <f t="shared" si="270"/>
        <v>-0.0000198412698412698</v>
      </c>
      <c r="AG501" s="32" t="str">
        <f t="shared" si="271"/>
        <v>0.146979229762634i</v>
      </c>
      <c r="AH501" s="32">
        <f t="shared" si="285"/>
        <v>0.146979229762634</v>
      </c>
      <c r="AI501" s="32">
        <f t="shared" si="286"/>
        <v>1.5707963267948966</v>
      </c>
      <c r="AJ501" s="32" t="str">
        <f t="shared" si="272"/>
        <v>1+51.0167072226317i</v>
      </c>
      <c r="AK501" s="32">
        <f t="shared" si="287"/>
        <v>51.026506992343904</v>
      </c>
      <c r="AL501" s="32">
        <f t="shared" si="288"/>
        <v>1.5511974147514365</v>
      </c>
      <c r="AM501" s="32" t="str">
        <f t="shared" si="273"/>
        <v>1+1103.23629368941i</v>
      </c>
      <c r="AN501" s="32">
        <f t="shared" si="289"/>
        <v>1103.236746901383</v>
      </c>
      <c r="AO501" s="32">
        <f t="shared" si="290"/>
        <v>1.5698899029110451</v>
      </c>
      <c r="AP501" s="61" t="str">
        <f t="shared" si="291"/>
        <v>-0.0000545542008684769+0.0029181693920597i</v>
      </c>
      <c r="AQ501" s="52">
        <f t="shared" si="292"/>
        <v>-50.696272488286667</v>
      </c>
      <c r="AR501" s="64">
        <f t="shared" si="293"/>
        <v>91.071000680143825</v>
      </c>
      <c r="AS501" s="61" t="str">
        <f t="shared" si="294"/>
        <v>-0.000269661589898226+0.000149072797413522i</v>
      </c>
      <c r="AT501" s="67">
        <f t="shared" si="295"/>
        <v>-70.225504432825346</v>
      </c>
      <c r="AU501" s="64">
        <f t="shared" si="296"/>
        <v>151.06555258362789</v>
      </c>
    </row>
    <row r="502" spans="14:47" x14ac:dyDescent="0.25">
      <c r="N502" s="11">
        <v>84</v>
      </c>
      <c r="O502" s="53">
        <f t="shared" si="297"/>
        <v>691830.97091893724</v>
      </c>
      <c r="P502" s="51" t="str">
        <f t="shared" si="265"/>
        <v>122.692307692308</v>
      </c>
      <c r="Q502" s="18" t="str">
        <f t="shared" si="266"/>
        <v>1+4455.57474631789i</v>
      </c>
      <c r="R502" s="18">
        <f t="shared" si="274"/>
        <v>4455.5748585368565</v>
      </c>
      <c r="S502" s="18">
        <f t="shared" si="275"/>
        <v>1.5705718888626106</v>
      </c>
      <c r="T502" s="18" t="str">
        <f t="shared" si="267"/>
        <v>1+0.891114949263579i</v>
      </c>
      <c r="U502" s="18">
        <f t="shared" si="276"/>
        <v>1.3394349005461337</v>
      </c>
      <c r="V502" s="18">
        <f t="shared" si="277"/>
        <v>0.72788449040857539</v>
      </c>
      <c r="W502" s="32" t="str">
        <f t="shared" si="268"/>
        <v>1-42.2116535127881i</v>
      </c>
      <c r="X502" s="18">
        <f t="shared" si="278"/>
        <v>42.223496921544474</v>
      </c>
      <c r="Y502" s="18">
        <f t="shared" si="279"/>
        <v>-1.5471106166766073</v>
      </c>
      <c r="Z502" s="32" t="str">
        <f t="shared" si="269"/>
        <v>-14.6287377084943+4.50449411482718i</v>
      </c>
      <c r="AA502" s="18">
        <f t="shared" si="280"/>
        <v>15.306548734918522</v>
      </c>
      <c r="AB502" s="18">
        <f t="shared" si="281"/>
        <v>2.8428849111529164</v>
      </c>
      <c r="AC502" s="69" t="str">
        <f t="shared" si="282"/>
        <v>0.0505809105296512+0.0882812040229043i</v>
      </c>
      <c r="AD502" s="67">
        <f t="shared" si="283"/>
        <v>-19.849757579142619</v>
      </c>
      <c r="AE502" s="64">
        <f t="shared" si="284"/>
        <v>60.189352793786796</v>
      </c>
      <c r="AF502" s="32" t="str">
        <f t="shared" si="270"/>
        <v>-0.0000198412698412698</v>
      </c>
      <c r="AG502" s="32" t="str">
        <f t="shared" si="271"/>
        <v>0.150402815826926i</v>
      </c>
      <c r="AH502" s="32">
        <f t="shared" si="285"/>
        <v>0.150402815826926</v>
      </c>
      <c r="AI502" s="32">
        <f t="shared" si="286"/>
        <v>1.5707963267948966</v>
      </c>
      <c r="AJ502" s="32" t="str">
        <f t="shared" si="272"/>
        <v>1+52.2050389901579i</v>
      </c>
      <c r="AK502" s="32">
        <f t="shared" si="287"/>
        <v>52.214615731267301</v>
      </c>
      <c r="AL502" s="32">
        <f t="shared" si="288"/>
        <v>1.5516434300911772</v>
      </c>
      <c r="AM502" s="32" t="str">
        <f t="shared" si="273"/>
        <v>1+1128.93396816217i</v>
      </c>
      <c r="AN502" s="32">
        <f t="shared" si="289"/>
        <v>1128.9344110577831</v>
      </c>
      <c r="AO502" s="32">
        <f t="shared" si="290"/>
        <v>1.5699105356267153</v>
      </c>
      <c r="AP502" s="61" t="str">
        <f t="shared" si="291"/>
        <v>-0.0000520997579577229+0.00285179076241537i</v>
      </c>
      <c r="AQ502" s="52">
        <f t="shared" si="292"/>
        <v>-50.896197576456089</v>
      </c>
      <c r="AR502" s="64">
        <f t="shared" si="293"/>
        <v>91.046628051106396</v>
      </c>
      <c r="AS502" s="61" t="str">
        <f t="shared" si="294"/>
        <v>-0.000254394775323301+0.000139646744041208i</v>
      </c>
      <c r="AT502" s="67">
        <f t="shared" si="295"/>
        <v>-70.745955155598722</v>
      </c>
      <c r="AU502" s="64">
        <f t="shared" si="296"/>
        <v>151.23598084489316</v>
      </c>
    </row>
    <row r="503" spans="14:47" x14ac:dyDescent="0.25">
      <c r="N503" s="11">
        <v>85</v>
      </c>
      <c r="O503" s="53">
        <f t="shared" si="297"/>
        <v>707945.78438413853</v>
      </c>
      <c r="P503" s="51" t="str">
        <f t="shared" si="265"/>
        <v>122.692307692308</v>
      </c>
      <c r="Q503" s="18" t="str">
        <f t="shared" si="266"/>
        <v>1+4559.3584144902i</v>
      </c>
      <c r="R503" s="18">
        <f t="shared" si="274"/>
        <v>4559.3585241547507</v>
      </c>
      <c r="S503" s="18">
        <f t="shared" si="275"/>
        <v>1.5705769976935067</v>
      </c>
      <c r="T503" s="18" t="str">
        <f t="shared" si="267"/>
        <v>1+0.911871682898042i</v>
      </c>
      <c r="U503" s="18">
        <f t="shared" si="276"/>
        <v>1.3533329102890046</v>
      </c>
      <c r="V503" s="18">
        <f t="shared" si="277"/>
        <v>0.73933545968515169</v>
      </c>
      <c r="W503" s="32" t="str">
        <f t="shared" si="268"/>
        <v>1-43.1948892322194i</v>
      </c>
      <c r="X503" s="18">
        <f t="shared" si="278"/>
        <v>43.206463125135613</v>
      </c>
      <c r="Y503" s="18">
        <f t="shared" si="279"/>
        <v>-1.5476495744666021</v>
      </c>
      <c r="Z503" s="32" t="str">
        <f t="shared" si="269"/>
        <v>-15.365297424564+4.60941726147256i</v>
      </c>
      <c r="AA503" s="18">
        <f t="shared" si="280"/>
        <v>16.041792058111035</v>
      </c>
      <c r="AB503" s="18">
        <f t="shared" si="281"/>
        <v>2.8501461268834674</v>
      </c>
      <c r="AC503" s="69" t="str">
        <f t="shared" si="282"/>
        <v>0.048452194564604+0.0852851706076899i</v>
      </c>
      <c r="AD503" s="67">
        <f t="shared" si="283"/>
        <v>-20.167718640431495</v>
      </c>
      <c r="AE503" s="64">
        <f t="shared" si="284"/>
        <v>60.398235268023029</v>
      </c>
      <c r="AF503" s="32" t="str">
        <f t="shared" si="270"/>
        <v>-0.0000198412698412698</v>
      </c>
      <c r="AG503" s="32" t="str">
        <f t="shared" si="271"/>
        <v>0.153906147454986i</v>
      </c>
      <c r="AH503" s="32">
        <f t="shared" si="285"/>
        <v>0.15390614745498599</v>
      </c>
      <c r="AI503" s="32">
        <f t="shared" si="286"/>
        <v>1.5707963267948966</v>
      </c>
      <c r="AJ503" s="32" t="str">
        <f t="shared" si="272"/>
        <v>1+53.4210505603722i</v>
      </c>
      <c r="AK503" s="32">
        <f t="shared" si="287"/>
        <v>53.430409346867663</v>
      </c>
      <c r="AL503" s="32">
        <f t="shared" si="288"/>
        <v>1.5520793002465636</v>
      </c>
      <c r="AM503" s="32" t="str">
        <f t="shared" si="273"/>
        <v>1+1155.23021836805i</v>
      </c>
      <c r="AN503" s="32">
        <f t="shared" si="289"/>
        <v>1155.2306511821316</v>
      </c>
      <c r="AO503" s="32">
        <f t="shared" si="290"/>
        <v>1.5699306986851662</v>
      </c>
      <c r="AP503" s="61" t="str">
        <f t="shared" si="291"/>
        <v>-0.0000497557039605622+0.00278691995825523i</v>
      </c>
      <c r="AQ503" s="52">
        <f t="shared" si="292"/>
        <v>-51.096126035001973</v>
      </c>
      <c r="AR503" s="64">
        <f t="shared" si="293"/>
        <v>91.02280978893836</v>
      </c>
      <c r="AS503" s="61" t="str">
        <f t="shared" si="294"/>
        <v>-0.000240093717158769+0.000130788964352378i</v>
      </c>
      <c r="AT503" s="67">
        <f t="shared" si="295"/>
        <v>-71.263844675433475</v>
      </c>
      <c r="AU503" s="64">
        <f t="shared" si="296"/>
        <v>151.42104505696139</v>
      </c>
    </row>
    <row r="504" spans="14:47" x14ac:dyDescent="0.25">
      <c r="N504" s="11">
        <v>86</v>
      </c>
      <c r="O504" s="53">
        <f t="shared" si="297"/>
        <v>724435.96007499192</v>
      </c>
      <c r="P504" s="51" t="str">
        <f t="shared" si="265"/>
        <v>122.692307692308</v>
      </c>
      <c r="Q504" s="18" t="str">
        <f t="shared" si="266"/>
        <v>1+4665.55951484412i</v>
      </c>
      <c r="R504" s="18">
        <f t="shared" si="274"/>
        <v>4665.5596220124007</v>
      </c>
      <c r="S504" s="18">
        <f t="shared" si="275"/>
        <v>1.570581990233225</v>
      </c>
      <c r="T504" s="18" t="str">
        <f t="shared" si="267"/>
        <v>1+0.933111902968826i</v>
      </c>
      <c r="U504" s="18">
        <f t="shared" si="276"/>
        <v>1.3677345588461614</v>
      </c>
      <c r="V504" s="18">
        <f t="shared" si="277"/>
        <v>0.75081070768221492</v>
      </c>
      <c r="W504" s="32" t="str">
        <f t="shared" si="268"/>
        <v>1-44.2010274536735i</v>
      </c>
      <c r="X504" s="18">
        <f t="shared" si="278"/>
        <v>44.212337960804547</v>
      </c>
      <c r="Y504" s="18">
        <f t="shared" si="279"/>
        <v>-1.5481762770759162</v>
      </c>
      <c r="Z504" s="32" t="str">
        <f t="shared" si="269"/>
        <v>-16.1365701306049+4.71678438216282i</v>
      </c>
      <c r="AA504" s="18">
        <f t="shared" si="280"/>
        <v>16.811809851641357</v>
      </c>
      <c r="AB504" s="18">
        <f t="shared" si="281"/>
        <v>2.8572112565783296</v>
      </c>
      <c r="AC504" s="69" t="str">
        <f t="shared" si="282"/>
        <v>0.0464050806685286+0.08242453245353i</v>
      </c>
      <c r="AD504" s="67">
        <f t="shared" si="283"/>
        <v>-20.483111527087864</v>
      </c>
      <c r="AE504" s="64">
        <f t="shared" si="284"/>
        <v>60.620452545865383</v>
      </c>
      <c r="AF504" s="32" t="str">
        <f t="shared" si="270"/>
        <v>-0.0000198412698412698</v>
      </c>
      <c r="AG504" s="32" t="str">
        <f t="shared" si="271"/>
        <v>0.157491082159616i</v>
      </c>
      <c r="AH504" s="32">
        <f t="shared" si="285"/>
        <v>0.15749108215961599</v>
      </c>
      <c r="AI504" s="32">
        <f t="shared" si="286"/>
        <v>1.5707963267948966</v>
      </c>
      <c r="AJ504" s="32" t="str">
        <f t="shared" si="272"/>
        <v>1+54.6653866787048i</v>
      </c>
      <c r="AK504" s="32">
        <f t="shared" si="287"/>
        <v>54.674532469261372</v>
      </c>
      <c r="AL504" s="32">
        <f t="shared" si="288"/>
        <v>1.552505255658879</v>
      </c>
      <c r="AM504" s="32" t="str">
        <f t="shared" si="273"/>
        <v>1+1182.13898692699i</v>
      </c>
      <c r="AN504" s="32">
        <f t="shared" si="289"/>
        <v>1182.1394098890239</v>
      </c>
      <c r="AO504" s="32">
        <f t="shared" si="290"/>
        <v>1.569950402777053</v>
      </c>
      <c r="AP504" s="61" t="str">
        <f t="shared" si="291"/>
        <v>-0.0000475170775239066+0.00272352286647406i</v>
      </c>
      <c r="AQ504" s="52">
        <f t="shared" si="292"/>
        <v>-51.296057712338829</v>
      </c>
      <c r="AR504" s="64">
        <f t="shared" si="293"/>
        <v>90.999533302856179</v>
      </c>
      <c r="AS504" s="61" t="str">
        <f t="shared" si="294"/>
        <v>-0.000226690132711252+0.000122468725422845i</v>
      </c>
      <c r="AT504" s="67">
        <f t="shared" si="295"/>
        <v>-71.779169239426693</v>
      </c>
      <c r="AU504" s="64">
        <f t="shared" si="296"/>
        <v>151.61998584872154</v>
      </c>
    </row>
    <row r="505" spans="14:47" x14ac:dyDescent="0.25">
      <c r="N505" s="11">
        <v>87</v>
      </c>
      <c r="O505" s="53">
        <f t="shared" si="297"/>
        <v>741310.24130091805</v>
      </c>
      <c r="P505" s="51" t="str">
        <f t="shared" si="265"/>
        <v>122.692307692308</v>
      </c>
      <c r="Q505" s="18" t="str">
        <f t="shared" si="266"/>
        <v>1+4774.23435660877i</v>
      </c>
      <c r="R505" s="18">
        <f t="shared" si="274"/>
        <v>4774.2344613376035</v>
      </c>
      <c r="S505" s="18">
        <f t="shared" si="275"/>
        <v>1.5705868691288749</v>
      </c>
      <c r="T505" s="18" t="str">
        <f t="shared" si="267"/>
        <v>1+0.954846871321755i</v>
      </c>
      <c r="U505" s="18">
        <f t="shared" si="276"/>
        <v>1.3826541677776638</v>
      </c>
      <c r="V505" s="18">
        <f t="shared" si="277"/>
        <v>0.76230423113768098</v>
      </c>
      <c r="W505" s="32" t="str">
        <f t="shared" si="268"/>
        <v>1-45.2306016449532i</v>
      </c>
      <c r="X505" s="18">
        <f t="shared" si="278"/>
        <v>45.241654757142143</v>
      </c>
      <c r="Y505" s="18">
        <f t="shared" si="279"/>
        <v>-1.5486910025996503</v>
      </c>
      <c r="Z505" s="32" t="str">
        <f t="shared" si="269"/>
        <v>-16.9441917994326+4.82665240436651i</v>
      </c>
      <c r="AA505" s="18">
        <f t="shared" si="280"/>
        <v>17.61823513205951</v>
      </c>
      <c r="AB505" s="18">
        <f t="shared" si="281"/>
        <v>2.864086809065931</v>
      </c>
      <c r="AC505" s="69" t="str">
        <f t="shared" si="282"/>
        <v>0.0444373007053465+0.079691608928826i</v>
      </c>
      <c r="AD505" s="67">
        <f t="shared" si="283"/>
        <v>-20.795935231580241</v>
      </c>
      <c r="AE505" s="64">
        <f t="shared" si="284"/>
        <v>60.855271651990996</v>
      </c>
      <c r="AF505" s="32" t="str">
        <f t="shared" si="270"/>
        <v>-0.0000198412698412698</v>
      </c>
      <c r="AG505" s="32" t="str">
        <f t="shared" si="271"/>
        <v>0.161159520720647i</v>
      </c>
      <c r="AH505" s="32">
        <f t="shared" si="285"/>
        <v>0.16115952072064699</v>
      </c>
      <c r="AI505" s="32">
        <f t="shared" si="286"/>
        <v>1.5707963267948966</v>
      </c>
      <c r="AJ505" s="32" t="str">
        <f t="shared" si="272"/>
        <v>1+55.9387071086362i</v>
      </c>
      <c r="AK505" s="32">
        <f t="shared" si="287"/>
        <v>55.947644749227699</v>
      </c>
      <c r="AL505" s="32">
        <f t="shared" si="288"/>
        <v>1.5529215215566905</v>
      </c>
      <c r="AM505" s="32" t="str">
        <f t="shared" si="273"/>
        <v>1+1209.67454122426i</v>
      </c>
      <c r="AN505" s="32">
        <f t="shared" si="289"/>
        <v>1209.6749545585062</v>
      </c>
      <c r="AO505" s="32">
        <f t="shared" si="290"/>
        <v>1.5699696583496845</v>
      </c>
      <c r="AP505" s="61" t="str">
        <f t="shared" si="291"/>
        <v>-0.0000453791399798303+0.00266156613653051i</v>
      </c>
      <c r="AQ505" s="52">
        <f t="shared" si="292"/>
        <v>-51.495992463694229</v>
      </c>
      <c r="AR505" s="64">
        <f t="shared" si="293"/>
        <v>90.976786286800248</v>
      </c>
      <c r="AS505" s="61" t="str">
        <f t="shared" si="294"/>
        <v>-0.000214121014179629+0.000114656478079375i</v>
      </c>
      <c r="AT505" s="67">
        <f t="shared" si="295"/>
        <v>-72.291927695274467</v>
      </c>
      <c r="AU505" s="64">
        <f t="shared" si="296"/>
        <v>151.83205793879108</v>
      </c>
    </row>
    <row r="506" spans="14:47" x14ac:dyDescent="0.25">
      <c r="N506" s="11">
        <v>88</v>
      </c>
      <c r="O506" s="53">
        <f t="shared" si="297"/>
        <v>758577.57502918423</v>
      </c>
      <c r="P506" s="51" t="str">
        <f t="shared" si="265"/>
        <v>122.692307692308</v>
      </c>
      <c r="Q506" s="18" t="str">
        <f t="shared" si="266"/>
        <v>1+4885.44056062377i</v>
      </c>
      <c r="R506" s="18">
        <f t="shared" si="274"/>
        <v>4885.4406629686846</v>
      </c>
      <c r="S506" s="18">
        <f t="shared" si="275"/>
        <v>1.570591636967311</v>
      </c>
      <c r="T506" s="18" t="str">
        <f t="shared" si="267"/>
        <v>1+0.977088112124755i</v>
      </c>
      <c r="U506" s="18">
        <f t="shared" si="276"/>
        <v>1.3981062831042272</v>
      </c>
      <c r="V506" s="18">
        <f t="shared" si="277"/>
        <v>0.77380997866079448</v>
      </c>
      <c r="W506" s="32" t="str">
        <f t="shared" si="268"/>
        <v>1-46.284157699923i</v>
      </c>
      <c r="X506" s="18">
        <f t="shared" si="278"/>
        <v>46.294959271948187</v>
      </c>
      <c r="Y506" s="18">
        <f t="shared" si="279"/>
        <v>-1.5491940228604844</v>
      </c>
      <c r="Z506" s="32" t="str">
        <f t="shared" si="269"/>
        <v>-17.7898755048867+4.9390795815633i</v>
      </c>
      <c r="AA506" s="18">
        <f t="shared" si="280"/>
        <v>18.462778165606153</v>
      </c>
      <c r="AB506" s="18">
        <f t="shared" si="281"/>
        <v>2.8707790108576656</v>
      </c>
      <c r="AC506" s="69" t="str">
        <f t="shared" si="282"/>
        <v>0.0425465452362931+0.0770792082521004i</v>
      </c>
      <c r="AD506" s="67">
        <f t="shared" si="283"/>
        <v>-21.106191310707914</v>
      </c>
      <c r="AE506" s="64">
        <f t="shared" si="284"/>
        <v>61.101973391917035</v>
      </c>
      <c r="AF506" s="32" t="str">
        <f t="shared" si="270"/>
        <v>-0.0000198412698412698</v>
      </c>
      <c r="AG506" s="32" t="str">
        <f t="shared" si="271"/>
        <v>0.164913408192763i</v>
      </c>
      <c r="AH506" s="32">
        <f t="shared" si="285"/>
        <v>0.16491340819276301</v>
      </c>
      <c r="AI506" s="32">
        <f t="shared" si="286"/>
        <v>1.5707963267948966</v>
      </c>
      <c r="AJ506" s="32" t="str">
        <f t="shared" si="272"/>
        <v>1+57.241686981513i</v>
      </c>
      <c r="AK506" s="32">
        <f t="shared" si="287"/>
        <v>57.250421207965921</v>
      </c>
      <c r="AL506" s="32">
        <f t="shared" si="288"/>
        <v>1.5533283180723207</v>
      </c>
      <c r="AM506" s="32" t="str">
        <f t="shared" si="273"/>
        <v>1+1237.85148097522i</v>
      </c>
      <c r="AN506" s="32">
        <f t="shared" si="289"/>
        <v>1237.8518849008331</v>
      </c>
      <c r="AO506" s="32">
        <f t="shared" si="290"/>
        <v>1.5699884756125633</v>
      </c>
      <c r="AP506" s="61" t="str">
        <f t="shared" si="291"/>
        <v>-0.0000433373653769194+0.00260101716401775i</v>
      </c>
      <c r="AQ506" s="52">
        <f t="shared" si="292"/>
        <v>-51.695930150803484</v>
      </c>
      <c r="AR506" s="64">
        <f t="shared" si="293"/>
        <v>90.954556713078958</v>
      </c>
      <c r="AS506" s="61" t="str">
        <f t="shared" si="294"/>
        <v>-0.000202328198829043+0.000107323884618271i</v>
      </c>
      <c r="AT506" s="67">
        <f t="shared" si="295"/>
        <v>-72.802121461511391</v>
      </c>
      <c r="AU506" s="64">
        <f t="shared" si="296"/>
        <v>152.05653010499603</v>
      </c>
    </row>
    <row r="507" spans="14:47" x14ac:dyDescent="0.25">
      <c r="N507" s="11">
        <v>89</v>
      </c>
      <c r="O507" s="53">
        <f t="shared" si="297"/>
        <v>776247.11662869214</v>
      </c>
      <c r="P507" s="51" t="str">
        <f t="shared" si="265"/>
        <v>122.692307692308</v>
      </c>
      <c r="Q507" s="18" t="str">
        <f t="shared" si="266"/>
        <v>1+4999.23708989047i</v>
      </c>
      <c r="R507" s="18">
        <f t="shared" si="274"/>
        <v>4999.2371899057298</v>
      </c>
      <c r="S507" s="18">
        <f t="shared" si="275"/>
        <v>1.5705962962765032</v>
      </c>
      <c r="T507" s="18" t="str">
        <f t="shared" si="267"/>
        <v>1+0.999847417978095i</v>
      </c>
      <c r="U507" s="18">
        <f t="shared" si="276"/>
        <v>1.4141056747066194</v>
      </c>
      <c r="V507" s="18">
        <f t="shared" si="277"/>
        <v>0.78532186656588143</v>
      </c>
      <c r="W507" s="32" t="str">
        <f t="shared" si="268"/>
        <v>1-47.3622542279485i</v>
      </c>
      <c r="X507" s="18">
        <f t="shared" si="278"/>
        <v>47.372809981600476</v>
      </c>
      <c r="Y507" s="18">
        <f t="shared" si="279"/>
        <v>-1.5496856035476041</v>
      </c>
      <c r="Z507" s="32" t="str">
        <f t="shared" si="269"/>
        <v>-18.6754150554892+5.05412552413069i</v>
      </c>
      <c r="AA507" s="18">
        <f t="shared" si="280"/>
        <v>19.34723009395562</v>
      </c>
      <c r="AB507" s="18">
        <f t="shared" si="281"/>
        <v>2.8772938210833319</v>
      </c>
      <c r="AC507" s="69" t="str">
        <f t="shared" si="282"/>
        <v>0.0407304805076089+0.0745805954713822i</v>
      </c>
      <c r="AD507" s="67">
        <f t="shared" si="283"/>
        <v>-21.413883854545567</v>
      </c>
      <c r="AE507" s="64">
        <f t="shared" si="284"/>
        <v>61.359852395432597</v>
      </c>
      <c r="AF507" s="32" t="str">
        <f t="shared" si="270"/>
        <v>-0.0000198412698412698</v>
      </c>
      <c r="AG507" s="32" t="str">
        <f t="shared" si="271"/>
        <v>0.16875473493679i</v>
      </c>
      <c r="AH507" s="32">
        <f t="shared" si="285"/>
        <v>0.16875473493679</v>
      </c>
      <c r="AI507" s="32">
        <f t="shared" si="286"/>
        <v>1.5707963267948966</v>
      </c>
      <c r="AJ507" s="32" t="str">
        <f t="shared" si="272"/>
        <v>1+58.5750171545108i</v>
      </c>
      <c r="AK507" s="32">
        <f t="shared" si="287"/>
        <v>58.583552595000882</v>
      </c>
      <c r="AL507" s="32">
        <f t="shared" si="288"/>
        <v>1.5537258603558133</v>
      </c>
      <c r="AM507" s="32" t="str">
        <f t="shared" si="273"/>
        <v>1+1266.6847459663i</v>
      </c>
      <c r="AN507" s="32">
        <f t="shared" si="289"/>
        <v>1266.6851406974463</v>
      </c>
      <c r="AO507" s="32">
        <f t="shared" si="290"/>
        <v>1.5700068645427978</v>
      </c>
      <c r="AP507" s="61" t="str">
        <f t="shared" si="291"/>
        <v>-0.0000413874309555614+0.00254184407454678i</v>
      </c>
      <c r="AQ507" s="52">
        <f t="shared" si="292"/>
        <v>-51.895870641616504</v>
      </c>
      <c r="AR507" s="64">
        <f t="shared" si="293"/>
        <v>90.932832826149038</v>
      </c>
      <c r="AS507" s="61" t="str">
        <f t="shared" si="294"/>
        <v>-0.000191257974624899+0.000100443831286012i</v>
      </c>
      <c r="AT507" s="67">
        <f t="shared" si="295"/>
        <v>-73.309754496162071</v>
      </c>
      <c r="AU507" s="64">
        <f t="shared" si="296"/>
        <v>152.29268522158173</v>
      </c>
    </row>
    <row r="508" spans="14:47" x14ac:dyDescent="0.25">
      <c r="N508" s="11">
        <v>90</v>
      </c>
      <c r="O508" s="53">
        <f t="shared" si="297"/>
        <v>794328.23472428333</v>
      </c>
      <c r="P508" s="51" t="str">
        <f t="shared" si="265"/>
        <v>122.692307692308</v>
      </c>
      <c r="Q508" s="18" t="str">
        <f t="shared" si="266"/>
        <v>1+5115.68428083496i</v>
      </c>
      <c r="R508" s="18">
        <f t="shared" si="274"/>
        <v>5115.6843785735946</v>
      </c>
      <c r="S508" s="18">
        <f t="shared" si="275"/>
        <v>1.5706008495268782</v>
      </c>
      <c r="T508" s="18" t="str">
        <f t="shared" si="267"/>
        <v>1+1.02313685616699i</v>
      </c>
      <c r="U508" s="18">
        <f t="shared" si="276"/>
        <v>1.4306673360524005</v>
      </c>
      <c r="V508" s="18">
        <f t="shared" si="277"/>
        <v>0.79683379491383499</v>
      </c>
      <c r="W508" s="32" t="str">
        <f t="shared" si="268"/>
        <v>1-48.4654628500794i</v>
      </c>
      <c r="X508" s="18">
        <f t="shared" si="278"/>
        <v>48.475778377169213</v>
      </c>
      <c r="Y508" s="18">
        <f t="shared" si="279"/>
        <v>-1.5501660043527217</v>
      </c>
      <c r="Z508" s="32" t="str">
        <f t="shared" si="269"/>
        <v>-19.6026887993533+5.17185123095024i</v>
      </c>
      <c r="AA508" s="18">
        <f t="shared" si="280"/>
        <v>20.273466731651318</v>
      </c>
      <c r="AB508" s="18">
        <f t="shared" si="281"/>
        <v>2.8836369455962267</v>
      </c>
      <c r="AC508" s="69" t="str">
        <f t="shared" si="282"/>
        <v>0.0389867630291404+0.0721894624261095i</v>
      </c>
      <c r="AD508" s="67">
        <f t="shared" si="283"/>
        <v>-21.719019452641426</v>
      </c>
      <c r="AE508" s="64">
        <f t="shared" si="284"/>
        <v>61.628217219675079</v>
      </c>
      <c r="AF508" s="32" t="str">
        <f t="shared" si="270"/>
        <v>-0.0000198412698412698</v>
      </c>
      <c r="AG508" s="32" t="str">
        <f t="shared" si="271"/>
        <v>0.172685537675014i</v>
      </c>
      <c r="AH508" s="32">
        <f t="shared" si="285"/>
        <v>0.17268553767501399</v>
      </c>
      <c r="AI508" s="32">
        <f t="shared" si="286"/>
        <v>1.5707963267948966</v>
      </c>
      <c r="AJ508" s="32" t="str">
        <f t="shared" si="272"/>
        <v>1+59.939404576936i</v>
      </c>
      <c r="AK508" s="32">
        <f t="shared" si="287"/>
        <v>59.947745754428631</v>
      </c>
      <c r="AL508" s="32">
        <f t="shared" si="288"/>
        <v>1.5541143586864401</v>
      </c>
      <c r="AM508" s="32" t="str">
        <f t="shared" si="273"/>
        <v>1+1296.18962397624i</v>
      </c>
      <c r="AN508" s="32">
        <f t="shared" si="289"/>
        <v>1296.1900097222112</v>
      </c>
      <c r="AO508" s="32">
        <f t="shared" si="290"/>
        <v>1.5700248348903925</v>
      </c>
      <c r="AP508" s="61" t="str">
        <f t="shared" si="291"/>
        <v>-0.0000395252080475958+0.00248401570793827i</v>
      </c>
      <c r="AQ508" s="52">
        <f t="shared" si="292"/>
        <v>-52.095813810019813</v>
      </c>
      <c r="AR508" s="64">
        <f t="shared" si="293"/>
        <v>90.911603136529791</v>
      </c>
      <c r="AS508" s="61" t="str">
        <f t="shared" si="294"/>
        <v>-0.000180860718533905+0.0000939904282448157i</v>
      </c>
      <c r="AT508" s="67">
        <f t="shared" si="295"/>
        <v>-73.814833262661224</v>
      </c>
      <c r="AU508" s="64">
        <f t="shared" si="296"/>
        <v>152.5398203562049</v>
      </c>
    </row>
    <row r="509" spans="14:47" x14ac:dyDescent="0.25">
      <c r="N509" s="11">
        <v>91</v>
      </c>
      <c r="O509" s="53">
        <f t="shared" si="297"/>
        <v>812830.51616410096</v>
      </c>
      <c r="P509" s="51" t="str">
        <f t="shared" si="265"/>
        <v>122.692307692308</v>
      </c>
      <c r="Q509" s="18" t="str">
        <f t="shared" si="266"/>
        <v>1+5234.84387529922i</v>
      </c>
      <c r="R509" s="18">
        <f t="shared" si="274"/>
        <v>5234.8439708130518</v>
      </c>
      <c r="S509" s="18">
        <f t="shared" si="275"/>
        <v>1.5706052991326287</v>
      </c>
      <c r="T509" s="18" t="str">
        <f t="shared" si="267"/>
        <v>1+1.04696877505984i</v>
      </c>
      <c r="U509" s="18">
        <f t="shared" si="276"/>
        <v>1.4478064842893548</v>
      </c>
      <c r="V509" s="18">
        <f t="shared" si="277"/>
        <v>0.80833966365843002</v>
      </c>
      <c r="W509" s="32" t="str">
        <f t="shared" si="268"/>
        <v>1-49.5943685021294i</v>
      </c>
      <c r="X509" s="18">
        <f t="shared" si="278"/>
        <v>49.604449267429679</v>
      </c>
      <c r="Y509" s="18">
        <f t="shared" si="279"/>
        <v>-1.5506354791032402</v>
      </c>
      <c r="Z509" s="32" t="str">
        <f t="shared" si="269"/>
        <v>-20.5736636084113+5.29231912174997i</v>
      </c>
      <c r="AA509" s="18">
        <f t="shared" si="280"/>
        <v>21.243452543278082</v>
      </c>
      <c r="AB509" s="18">
        <f t="shared" si="281"/>
        <v>2.8898138502865449</v>
      </c>
      <c r="AC509" s="69" t="str">
        <f t="shared" si="282"/>
        <v>0.0373130520348004+0.0698998995995969i</v>
      </c>
      <c r="AD509" s="67">
        <f t="shared" si="283"/>
        <v>-22.021607156508168</v>
      </c>
      <c r="AE509" s="64">
        <f t="shared" si="284"/>
        <v>61.906390503739296</v>
      </c>
      <c r="AF509" s="32" t="str">
        <f t="shared" si="270"/>
        <v>-0.0000198412698412698</v>
      </c>
      <c r="AG509" s="32" t="str">
        <f t="shared" si="271"/>
        <v>0.176707900571076i</v>
      </c>
      <c r="AH509" s="32">
        <f t="shared" si="285"/>
        <v>0.17670790057107599</v>
      </c>
      <c r="AI509" s="32">
        <f t="shared" si="286"/>
        <v>1.5707963267948966</v>
      </c>
      <c r="AJ509" s="32" t="str">
        <f t="shared" si="272"/>
        <v>1+61.3355726650595i</v>
      </c>
      <c r="AK509" s="32">
        <f t="shared" si="287"/>
        <v>61.343723999695314</v>
      </c>
      <c r="AL509" s="32">
        <f t="shared" si="288"/>
        <v>1.5544940185817984</v>
      </c>
      <c r="AM509" s="32" t="str">
        <f t="shared" si="273"/>
        <v>1+1326.38175888191i</v>
      </c>
      <c r="AN509" s="32">
        <f t="shared" si="289"/>
        <v>1326.3821358472335</v>
      </c>
      <c r="AO509" s="32">
        <f t="shared" si="290"/>
        <v>1.5700423961834167</v>
      </c>
      <c r="AP509" s="61" t="str">
        <f t="shared" si="291"/>
        <v>-0.0000377467533816192+0.00242750160272101i</v>
      </c>
      <c r="AQ509" s="52">
        <f t="shared" si="292"/>
        <v>-52.295759535568948</v>
      </c>
      <c r="AR509" s="64">
        <f t="shared" si="293"/>
        <v>90.890856414848486</v>
      </c>
      <c r="AS509" s="61" t="str">
        <f t="shared" si="294"/>
        <v>-0.000171090564881132+0.0000879389993453045i</v>
      </c>
      <c r="AT509" s="67">
        <f t="shared" si="295"/>
        <v>-74.31736669207713</v>
      </c>
      <c r="AU509" s="64">
        <f t="shared" si="296"/>
        <v>152.79724691858775</v>
      </c>
    </row>
    <row r="510" spans="14:47" x14ac:dyDescent="0.25">
      <c r="N510" s="11">
        <v>92</v>
      </c>
      <c r="O510" s="53">
        <f t="shared" si="297"/>
        <v>831763.77110267128</v>
      </c>
      <c r="P510" s="51" t="str">
        <f t="shared" si="265"/>
        <v>122.692307692308</v>
      </c>
      <c r="Q510" s="18" t="str">
        <f t="shared" si="266"/>
        <v>1+5356.7790532775i</v>
      </c>
      <c r="R510" s="18">
        <f t="shared" si="274"/>
        <v>5356.7791466171711</v>
      </c>
      <c r="S510" s="18">
        <f t="shared" si="275"/>
        <v>1.570609647452994</v>
      </c>
      <c r="T510" s="18" t="str">
        <f t="shared" si="267"/>
        <v>1+1.0713558106555i</v>
      </c>
      <c r="U510" s="18">
        <f t="shared" si="276"/>
        <v>1.4655385607432183</v>
      </c>
      <c r="V510" s="18">
        <f t="shared" si="277"/>
        <v>0.81983338879332746</v>
      </c>
      <c r="W510" s="32" t="str">
        <f t="shared" si="268"/>
        <v>1-50.7495697448183i</v>
      </c>
      <c r="X510" s="18">
        <f t="shared" si="278"/>
        <v>50.759421088938524</v>
      </c>
      <c r="Y510" s="18">
        <f t="shared" si="279"/>
        <v>-1.5510942758926094</v>
      </c>
      <c r="Z510" s="32" t="str">
        <f t="shared" si="269"/>
        <v>-21.5903990504142+5.41559307020017i</v>
      </c>
      <c r="AA510" s="18">
        <f t="shared" si="280"/>
        <v>22.259244808800826</v>
      </c>
      <c r="AB510" s="18">
        <f t="shared" si="281"/>
        <v>2.8958297736417005</v>
      </c>
      <c r="AC510" s="69" t="str">
        <f t="shared" si="282"/>
        <v>0.035707020082414+0.0677063697678441i</v>
      </c>
      <c r="AD510" s="67">
        <f t="shared" si="283"/>
        <v>-22.321658437623839</v>
      </c>
      <c r="AE510" s="64">
        <f t="shared" si="284"/>
        <v>62.193709166637895</v>
      </c>
      <c r="AF510" s="32" t="str">
        <f t="shared" si="270"/>
        <v>-0.0000198412698412698</v>
      </c>
      <c r="AG510" s="32" t="str">
        <f t="shared" si="271"/>
        <v>0.180823956335026i</v>
      </c>
      <c r="AH510" s="32">
        <f t="shared" si="285"/>
        <v>0.18082395633502599</v>
      </c>
      <c r="AI510" s="32">
        <f t="shared" si="286"/>
        <v>1.5707963267948966</v>
      </c>
      <c r="AJ510" s="32" t="str">
        <f t="shared" si="272"/>
        <v>1+62.7642616856823i</v>
      </c>
      <c r="AK510" s="32">
        <f t="shared" si="287"/>
        <v>62.772227497109</v>
      </c>
      <c r="AL510" s="32">
        <f t="shared" si="288"/>
        <v>1.5548650409045399</v>
      </c>
      <c r="AM510" s="32" t="str">
        <f t="shared" si="273"/>
        <v>1+1357.27715895288i</v>
      </c>
      <c r="AN510" s="32">
        <f t="shared" si="289"/>
        <v>1357.2775273374277</v>
      </c>
      <c r="AO510" s="32">
        <f t="shared" si="290"/>
        <v>1.5700595577330576</v>
      </c>
      <c r="AP510" s="61" t="str">
        <f t="shared" si="291"/>
        <v>-0.0000360483007760174+0.00237227198093232i</v>
      </c>
      <c r="AQ510" s="52">
        <f t="shared" si="292"/>
        <v>-52.495707703234942</v>
      </c>
      <c r="AR510" s="64">
        <f t="shared" si="293"/>
        <v>90.87058168601456</v>
      </c>
      <c r="AS510" s="61" t="str">
        <f t="shared" si="294"/>
        <v>-0.000161905101330646+0.0000822660636822549i</v>
      </c>
      <c r="AT510" s="67">
        <f t="shared" si="295"/>
        <v>-74.817366140858766</v>
      </c>
      <c r="AU510" s="64">
        <f t="shared" si="296"/>
        <v>153.06429085265248</v>
      </c>
    </row>
    <row r="511" spans="14:47" x14ac:dyDescent="0.25">
      <c r="N511" s="11">
        <v>93</v>
      </c>
      <c r="O511" s="53">
        <f t="shared" si="297"/>
        <v>851138.03820237669</v>
      </c>
      <c r="P511" s="51" t="str">
        <f t="shared" si="265"/>
        <v>122.692307692308</v>
      </c>
      <c r="Q511" s="18" t="str">
        <f t="shared" si="266"/>
        <v>1+5481.5544664152i</v>
      </c>
      <c r="R511" s="18">
        <f t="shared" si="274"/>
        <v>5481.5545576302011</v>
      </c>
      <c r="S511" s="18">
        <f t="shared" si="275"/>
        <v>1.5706138967935104</v>
      </c>
      <c r="T511" s="18" t="str">
        <f t="shared" si="267"/>
        <v>1+1.09631089328304i</v>
      </c>
      <c r="U511" s="18">
        <f t="shared" si="276"/>
        <v>1.4838792318551592</v>
      </c>
      <c r="V511" s="18">
        <f t="shared" si="277"/>
        <v>0.83130891839561438</v>
      </c>
      <c r="W511" s="32" t="str">
        <f t="shared" si="268"/>
        <v>1-51.9316790811359i</v>
      </c>
      <c r="X511" s="18">
        <f t="shared" si="278"/>
        <v>51.941306223333349</v>
      </c>
      <c r="Y511" s="18">
        <f t="shared" si="279"/>
        <v>-1.5515426372079233</v>
      </c>
      <c r="Z511" s="32" t="str">
        <f t="shared" si="269"/>
        <v>-22.6550517575507+5.54173843778004i</v>
      </c>
      <c r="AA511" s="18">
        <f t="shared" si="280"/>
        <v>23.322997985895167</v>
      </c>
      <c r="AB511" s="18">
        <f t="shared" si="281"/>
        <v>2.9016897385916649</v>
      </c>
      <c r="AC511" s="69" t="str">
        <f t="shared" si="282"/>
        <v>0.0341663620207459+0.065603683349894i</v>
      </c>
      <c r="AD511" s="67">
        <f t="shared" si="283"/>
        <v>-22.619187140332976</v>
      </c>
      <c r="AE511" s="64">
        <f t="shared" si="284"/>
        <v>62.489524640457034</v>
      </c>
      <c r="AF511" s="32" t="str">
        <f t="shared" si="270"/>
        <v>-0.0000198412698412698</v>
      </c>
      <c r="AG511" s="32" t="str">
        <f t="shared" si="271"/>
        <v>0.185035887354113i</v>
      </c>
      <c r="AH511" s="32">
        <f t="shared" si="285"/>
        <v>0.185035887354113</v>
      </c>
      <c r="AI511" s="32">
        <f t="shared" si="286"/>
        <v>1.5707963267948966</v>
      </c>
      <c r="AJ511" s="32" t="str">
        <f t="shared" si="272"/>
        <v>1+64.2262291486341i</v>
      </c>
      <c r="AK511" s="32">
        <f t="shared" si="287"/>
        <v>64.234013658285875</v>
      </c>
      <c r="AL511" s="32">
        <f t="shared" si="288"/>
        <v>1.5552276219667851</v>
      </c>
      <c r="AM511" s="32" t="str">
        <f t="shared" si="273"/>
        <v>1+1388.89220533921i</v>
      </c>
      <c r="AN511" s="32">
        <f t="shared" si="289"/>
        <v>1388.8925653383037</v>
      </c>
      <c r="AO511" s="32">
        <f t="shared" si="290"/>
        <v>1.5700763286385555</v>
      </c>
      <c r="AP511" s="61" t="str">
        <f t="shared" si="291"/>
        <v>-0.0000344262532026104+0.00231829773321805i</v>
      </c>
      <c r="AQ511" s="52">
        <f t="shared" si="292"/>
        <v>-52.695658203160264</v>
      </c>
      <c r="AR511" s="64">
        <f t="shared" si="293"/>
        <v>90.850768223520177</v>
      </c>
      <c r="AS511" s="61" t="str">
        <f t="shared" si="294"/>
        <v>-0.000153265090230752+0.0000769493106109752i</v>
      </c>
      <c r="AT511" s="67">
        <f t="shared" si="295"/>
        <v>-75.314845343493246</v>
      </c>
      <c r="AU511" s="64">
        <f t="shared" si="296"/>
        <v>153.34029286397717</v>
      </c>
    </row>
    <row r="512" spans="14:47" x14ac:dyDescent="0.25">
      <c r="N512" s="11">
        <v>94</v>
      </c>
      <c r="O512" s="53">
        <f t="shared" si="297"/>
        <v>870963.58995608077</v>
      </c>
      <c r="P512" s="51" t="str">
        <f t="shared" si="265"/>
        <v>122.692307692308</v>
      </c>
      <c r="Q512" s="18" t="str">
        <f t="shared" si="266"/>
        <v>1+5609.23627228794i</v>
      </c>
      <c r="R512" s="18">
        <f t="shared" si="274"/>
        <v>5609.2363614266342</v>
      </c>
      <c r="S512" s="18">
        <f t="shared" si="275"/>
        <v>1.5706180494072339</v>
      </c>
      <c r="T512" s="18" t="str">
        <f t="shared" si="267"/>
        <v>1+1.12184725445759i</v>
      </c>
      <c r="U512" s="18">
        <f t="shared" si="276"/>
        <v>1.5028443905920641</v>
      </c>
      <c r="V512" s="18">
        <f t="shared" si="277"/>
        <v>0.84276024846299213</v>
      </c>
      <c r="W512" s="32" t="str">
        <f t="shared" si="268"/>
        <v>1-53.1413232810994i</v>
      </c>
      <c r="X512" s="18">
        <f t="shared" si="278"/>
        <v>53.150731322027156</v>
      </c>
      <c r="Y512" s="18">
        <f t="shared" si="279"/>
        <v>-1.5519808000548079</v>
      </c>
      <c r="Z512" s="32" t="str">
        <f t="shared" si="269"/>
        <v>-23.7698800009529+5.67082210843321i</v>
      </c>
      <c r="AA512" s="18">
        <f t="shared" si="280"/>
        <v>24.436968278515963</v>
      </c>
      <c r="AB512" s="18">
        <f t="shared" si="281"/>
        <v>2.9073985636766597</v>
      </c>
      <c r="AC512" s="69" t="str">
        <f t="shared" si="282"/>
        <v>0.0326888025251156+0.0635869753657654i</v>
      </c>
      <c r="AD512" s="67">
        <f t="shared" si="283"/>
        <v>-22.914209429196152</v>
      </c>
      <c r="AE512" s="64">
        <f t="shared" si="284"/>
        <v>62.793203130674293</v>
      </c>
      <c r="AF512" s="32" t="str">
        <f t="shared" si="270"/>
        <v>-0.0000198412698412698</v>
      </c>
      <c r="AG512" s="32" t="str">
        <f t="shared" si="271"/>
        <v>0.189345926849915i</v>
      </c>
      <c r="AH512" s="32">
        <f t="shared" si="285"/>
        <v>0.189345926849915</v>
      </c>
      <c r="AI512" s="32">
        <f t="shared" si="286"/>
        <v>1.5707963267948966</v>
      </c>
      <c r="AJ512" s="32" t="str">
        <f t="shared" si="272"/>
        <v>1+65.7222502084151i</v>
      </c>
      <c r="AK512" s="32">
        <f t="shared" si="287"/>
        <v>65.729857541740643</v>
      </c>
      <c r="AL512" s="32">
        <f t="shared" si="288"/>
        <v>1.5555819536322597</v>
      </c>
      <c r="AM512" s="32" t="str">
        <f t="shared" si="273"/>
        <v>1+1421.24366075698i</v>
      </c>
      <c r="AN512" s="32">
        <f t="shared" si="289"/>
        <v>1421.244012561496</v>
      </c>
      <c r="AO512" s="32">
        <f t="shared" si="290"/>
        <v>1.5700927177920283</v>
      </c>
      <c r="AP512" s="61" t="str">
        <f t="shared" si="291"/>
        <v>-0.000032877175204493+0.00226555040422755i</v>
      </c>
      <c r="AQ512" s="52">
        <f t="shared" si="292"/>
        <v>-52.89561093042704</v>
      </c>
      <c r="AR512" s="64">
        <f t="shared" si="293"/>
        <v>90.831405543864435</v>
      </c>
      <c r="AS512" s="61" t="str">
        <f t="shared" si="294"/>
        <v>-0.00014513421323136+0.0000719675696446662i</v>
      </c>
      <c r="AT512" s="67">
        <f t="shared" si="295"/>
        <v>-75.809820359623203</v>
      </c>
      <c r="AU512" s="64">
        <f t="shared" si="296"/>
        <v>153.62460867453868</v>
      </c>
    </row>
    <row r="513" spans="14:47" x14ac:dyDescent="0.25">
      <c r="N513" s="11">
        <v>95</v>
      </c>
      <c r="O513" s="53">
        <f t="shared" si="297"/>
        <v>891250.93813374708</v>
      </c>
      <c r="P513" s="51" t="str">
        <f t="shared" si="265"/>
        <v>122.692307692308</v>
      </c>
      <c r="Q513" s="18" t="str">
        <f t="shared" si="266"/>
        <v>1+5739.89216947928i</v>
      </c>
      <c r="R513" s="18">
        <f t="shared" si="274"/>
        <v>5739.8922565889297</v>
      </c>
      <c r="S513" s="18">
        <f t="shared" si="275"/>
        <v>1.570622107495935</v>
      </c>
      <c r="T513" s="18" t="str">
        <f t="shared" si="267"/>
        <v>1+1.14797843389586i</v>
      </c>
      <c r="U513" s="18">
        <f t="shared" si="276"/>
        <v>1.5224501583598695</v>
      </c>
      <c r="V513" s="18">
        <f t="shared" si="277"/>
        <v>0.85418143844414829</v>
      </c>
      <c r="W513" s="32" t="str">
        <f t="shared" si="268"/>
        <v>1-54.3791437140752i</v>
      </c>
      <c r="X513" s="18">
        <f t="shared" si="278"/>
        <v>54.38833763846845</v>
      </c>
      <c r="Y513" s="18">
        <f t="shared" si="279"/>
        <v>-1.5524089960796466</v>
      </c>
      <c r="Z513" s="32" t="str">
        <f t="shared" si="269"/>
        <v>-24.9372484807928+5.80291252403048i</v>
      </c>
      <c r="AA513" s="18">
        <f t="shared" si="280"/>
        <v>25.60351842138796</v>
      </c>
      <c r="AB513" s="18">
        <f t="shared" si="281"/>
        <v>2.9129608735735402</v>
      </c>
      <c r="AC513" s="69" t="str">
        <f t="shared" si="282"/>
        <v>0.0312721023795722+0.061651683909726i</v>
      </c>
      <c r="AD513" s="67">
        <f t="shared" si="283"/>
        <v>-23.20674373049421</v>
      </c>
      <c r="AE513" s="64">
        <f t="shared" si="284"/>
        <v>63.104125895793487</v>
      </c>
      <c r="AF513" s="32" t="str">
        <f t="shared" si="270"/>
        <v>-0.0000198412698412698</v>
      </c>
      <c r="AG513" s="32" t="str">
        <f t="shared" si="271"/>
        <v>0.193756360062423i</v>
      </c>
      <c r="AH513" s="32">
        <f t="shared" si="285"/>
        <v>0.193756360062423</v>
      </c>
      <c r="AI513" s="32">
        <f t="shared" si="286"/>
        <v>1.5707963267948966</v>
      </c>
      <c r="AJ513" s="32" t="str">
        <f t="shared" si="272"/>
        <v>1+67.2531180751936i</v>
      </c>
      <c r="AK513" s="32">
        <f t="shared" si="287"/>
        <v>67.260552263833887</v>
      </c>
      <c r="AL513" s="32">
        <f t="shared" si="288"/>
        <v>1.5559282234162051</v>
      </c>
      <c r="AM513" s="32" t="str">
        <f t="shared" si="273"/>
        <v>1+1454.34867837605i</v>
      </c>
      <c r="AN513" s="32">
        <f t="shared" si="289"/>
        <v>1454.3490221725192</v>
      </c>
      <c r="AO513" s="32">
        <f t="shared" si="290"/>
        <v>1.5701087338831872</v>
      </c>
      <c r="AP513" s="61" t="str">
        <f t="shared" si="291"/>
        <v>-0.0000313977856524116+0.00221400217830035i</v>
      </c>
      <c r="AQ513" s="52">
        <f t="shared" si="292"/>
        <v>-53.095565784834974</v>
      </c>
      <c r="AR513" s="64">
        <f t="shared" si="293"/>
        <v>90.812483401099158</v>
      </c>
      <c r="AS513" s="61" t="str">
        <f t="shared" si="294"/>
        <v>-0.000137478837239432+0.0000673007764318966i</v>
      </c>
      <c r="AT513" s="67">
        <f t="shared" si="295"/>
        <v>-76.302309515329185</v>
      </c>
      <c r="AU513" s="64">
        <f t="shared" si="296"/>
        <v>153.91660929689263</v>
      </c>
    </row>
    <row r="514" spans="14:47" x14ac:dyDescent="0.25">
      <c r="N514" s="11">
        <v>96</v>
      </c>
      <c r="O514" s="53">
        <f t="shared" si="297"/>
        <v>912010.83935591124</v>
      </c>
      <c r="P514" s="51" t="str">
        <f t="shared" si="265"/>
        <v>122.692307692308</v>
      </c>
      <c r="Q514" s="18" t="str">
        <f t="shared" si="266"/>
        <v>1+5873.59143347532i</v>
      </c>
      <c r="R514" s="18">
        <f t="shared" si="274"/>
        <v>5873.591518602112</v>
      </c>
      <c r="S514" s="18">
        <f t="shared" si="275"/>
        <v>1.5706260732112649</v>
      </c>
      <c r="T514" s="18" t="str">
        <f t="shared" si="267"/>
        <v>1+1.17471828669506i</v>
      </c>
      <c r="U514" s="18">
        <f t="shared" si="276"/>
        <v>1.5427128874472327</v>
      </c>
      <c r="V514" s="18">
        <f t="shared" si="277"/>
        <v>0.86556662636550752</v>
      </c>
      <c r="W514" s="32" t="str">
        <f t="shared" si="268"/>
        <v>1-55.6457966888411i</v>
      </c>
      <c r="X514" s="18">
        <f t="shared" si="278"/>
        <v>55.654781368143382</v>
      </c>
      <c r="Y514" s="18">
        <f t="shared" si="279"/>
        <v>-1.5528274516891953</v>
      </c>
      <c r="Z514" s="32" t="str">
        <f t="shared" si="269"/>
        <v>-26.159633342128+5.93807972065862i</v>
      </c>
      <c r="AA514" s="18">
        <f t="shared" si="280"/>
        <v>26.825122690557674</v>
      </c>
      <c r="AB514" s="18">
        <f t="shared" si="281"/>
        <v>2.9183811090159932</v>
      </c>
      <c r="AC514" s="69" t="str">
        <f t="shared" si="282"/>
        <v>0.029914063662843+0.0597935300492746i</v>
      </c>
      <c r="AD514" s="67">
        <f t="shared" si="283"/>
        <v>-23.496810667729783</v>
      </c>
      <c r="AE514" s="64">
        <f t="shared" si="284"/>
        <v>63.421689538738988</v>
      </c>
      <c r="AF514" s="32" t="str">
        <f t="shared" si="270"/>
        <v>-0.0000198412698412698</v>
      </c>
      <c r="AG514" s="32" t="str">
        <f t="shared" si="271"/>
        <v>0.198269525461704i</v>
      </c>
      <c r="AH514" s="32">
        <f t="shared" si="285"/>
        <v>0.19826952546170401</v>
      </c>
      <c r="AI514" s="32">
        <f t="shared" si="286"/>
        <v>1.5707963267948966</v>
      </c>
      <c r="AJ514" s="32" t="str">
        <f t="shared" si="272"/>
        <v>1+68.8196444353757i</v>
      </c>
      <c r="AK514" s="32">
        <f t="shared" si="287"/>
        <v>68.826909419292804</v>
      </c>
      <c r="AL514" s="32">
        <f t="shared" si="288"/>
        <v>1.5562666145831039</v>
      </c>
      <c r="AM514" s="32" t="str">
        <f t="shared" si="273"/>
        <v>1+1488.224810915i</v>
      </c>
      <c r="AN514" s="32">
        <f t="shared" si="289"/>
        <v>1488.2251468857082</v>
      </c>
      <c r="AO514" s="32">
        <f t="shared" si="290"/>
        <v>1.5701243854039428</v>
      </c>
      <c r="AP514" s="61" t="str">
        <f t="shared" si="291"/>
        <v>-0.0000299849508246724+0.00216362586544053i</v>
      </c>
      <c r="AQ514" s="52">
        <f t="shared" si="292"/>
        <v>-53.295522670689039</v>
      </c>
      <c r="AR514" s="64">
        <f t="shared" si="293"/>
        <v>90.793991781493617</v>
      </c>
      <c r="AS514" s="61" t="str">
        <f t="shared" si="294"/>
        <v>-0.000130267799928503+0.0000629299358232007i</v>
      </c>
      <c r="AT514" s="67">
        <f t="shared" si="295"/>
        <v>-76.7923333384188</v>
      </c>
      <c r="AU514" s="64">
        <f t="shared" si="296"/>
        <v>154.2156813202327</v>
      </c>
    </row>
    <row r="515" spans="14:47" x14ac:dyDescent="0.25">
      <c r="N515" s="11">
        <v>97</v>
      </c>
      <c r="O515" s="53">
        <f t="shared" si="297"/>
        <v>933254.30079699249</v>
      </c>
      <c r="P515" s="51" t="str">
        <f t="shared" si="265"/>
        <v>122.692307692308</v>
      </c>
      <c r="Q515" s="18" t="str">
        <f t="shared" si="266"/>
        <v>1+6010.40495339556i</v>
      </c>
      <c r="R515" s="18">
        <f t="shared" si="274"/>
        <v>6010.4050365846297</v>
      </c>
      <c r="S515" s="18">
        <f t="shared" si="275"/>
        <v>1.5706299486558981</v>
      </c>
      <c r="T515" s="18" t="str">
        <f t="shared" si="267"/>
        <v>1+1.20208099067911i</v>
      </c>
      <c r="U515" s="18">
        <f t="shared" si="276"/>
        <v>1.5636491640237173</v>
      </c>
      <c r="V515" s="18">
        <f t="shared" si="277"/>
        <v>0.87691004346234691</v>
      </c>
      <c r="W515" s="32" t="str">
        <f t="shared" si="268"/>
        <v>1-56.9419538015707i</v>
      </c>
      <c r="X515" s="18">
        <f t="shared" si="278"/>
        <v>56.950733996500972</v>
      </c>
      <c r="Y515" s="18">
        <f t="shared" si="279"/>
        <v>-1.553236388167631</v>
      </c>
      <c r="Z515" s="32" t="str">
        <f t="shared" si="269"/>
        <v>-27.4396274271373+6.07639536575442i</v>
      </c>
      <c r="AA515" s="18">
        <f t="shared" si="280"/>
        <v>28.104372150629288</v>
      </c>
      <c r="AB515" s="18">
        <f t="shared" si="281"/>
        <v>2.923663536142417</v>
      </c>
      <c r="AC515" s="69" t="str">
        <f t="shared" si="282"/>
        <v>0.0286125339768528+0.058008499063248i</v>
      </c>
      <c r="AD515" s="67">
        <f t="shared" si="283"/>
        <v>-23.784432991106144</v>
      </c>
      <c r="AE515" s="64">
        <f t="shared" si="284"/>
        <v>63.745306302790475</v>
      </c>
      <c r="AF515" s="32" t="str">
        <f t="shared" si="270"/>
        <v>-0.0000198412698412698</v>
      </c>
      <c r="AG515" s="32" t="str">
        <f t="shared" si="271"/>
        <v>0.202887815987792i</v>
      </c>
      <c r="AH515" s="32">
        <f t="shared" si="285"/>
        <v>0.20288781598779199</v>
      </c>
      <c r="AI515" s="32">
        <f t="shared" si="286"/>
        <v>1.5707963267948966</v>
      </c>
      <c r="AJ515" s="32" t="str">
        <f t="shared" si="272"/>
        <v>1+70.4226598819732i</v>
      </c>
      <c r="AK515" s="32">
        <f t="shared" si="287"/>
        <v>70.429759511530904</v>
      </c>
      <c r="AL515" s="32">
        <f t="shared" si="288"/>
        <v>1.5565973062422647</v>
      </c>
      <c r="AM515" s="32" t="str">
        <f t="shared" si="273"/>
        <v>1+1522.89001994767i</v>
      </c>
      <c r="AN515" s="32">
        <f t="shared" si="289"/>
        <v>1522.8903482707528</v>
      </c>
      <c r="AO515" s="32">
        <f t="shared" si="290"/>
        <v>1.5701396806529078</v>
      </c>
      <c r="AP515" s="61" t="str">
        <f t="shared" si="291"/>
        <v>-0.0000286356777962295+0.0021143948875743i</v>
      </c>
      <c r="AQ515" s="52">
        <f t="shared" si="292"/>
        <v>-53.495481496598174</v>
      </c>
      <c r="AR515" s="64">
        <f t="shared" si="293"/>
        <v>90.775920898315817</v>
      </c>
      <c r="AS515" s="61" t="str">
        <f t="shared" si="294"/>
        <v>-0.000123472213159085+0.0000588370828725855i</v>
      </c>
      <c r="AT515" s="67">
        <f t="shared" si="295"/>
        <v>-77.279914487704318</v>
      </c>
      <c r="AU515" s="64">
        <f t="shared" si="296"/>
        <v>154.52122720110626</v>
      </c>
    </row>
    <row r="516" spans="14:47" x14ac:dyDescent="0.25">
      <c r="N516" s="11">
        <v>98</v>
      </c>
      <c r="O516" s="53">
        <f t="shared" si="297"/>
        <v>954992.58602143743</v>
      </c>
      <c r="P516" s="51" t="str">
        <f t="shared" si="265"/>
        <v>122.692307692308</v>
      </c>
      <c r="Q516" s="18" t="str">
        <f t="shared" si="266"/>
        <v>1+6150.40526957921i</v>
      </c>
      <c r="R516" s="18">
        <f t="shared" si="274"/>
        <v>6150.4053508746656</v>
      </c>
      <c r="S516" s="18">
        <f t="shared" si="275"/>
        <v>1.5706337358846465</v>
      </c>
      <c r="T516" s="18" t="str">
        <f t="shared" si="267"/>
        <v>1+1.23008105391584i</v>
      </c>
      <c r="U516" s="18">
        <f t="shared" si="276"/>
        <v>1.5852758117131238</v>
      </c>
      <c r="V516" s="18">
        <f t="shared" si="277"/>
        <v>0.88820602822790118</v>
      </c>
      <c r="W516" s="32" t="str">
        <f t="shared" si="268"/>
        <v>1-58.2683022919218i</v>
      </c>
      <c r="X516" s="18">
        <f t="shared" si="278"/>
        <v>58.276882654984036</v>
      </c>
      <c r="Y516" s="18">
        <f t="shared" si="279"/>
        <v>-1.5536360217910854</v>
      </c>
      <c r="Z516" s="32" t="str">
        <f t="shared" si="269"/>
        <v>-28.7799457748868+6.21793279610375i</v>
      </c>
      <c r="AA516" s="18">
        <f t="shared" si="280"/>
        <v>29.443980149807995</v>
      </c>
      <c r="AB516" s="18">
        <f t="shared" si="281"/>
        <v>2.9288122553039617</v>
      </c>
      <c r="AC516" s="69" t="str">
        <f t="shared" si="282"/>
        <v>0.0273654098403215+0.0562928229359597i</v>
      </c>
      <c r="AD516" s="67">
        <f t="shared" si="283"/>
        <v>-24.069635501081258</v>
      </c>
      <c r="AE516" s="64">
        <f t="shared" si="284"/>
        <v>64.074404365247389</v>
      </c>
      <c r="AF516" s="32" t="str">
        <f t="shared" si="270"/>
        <v>-0.0000198412698412698</v>
      </c>
      <c r="AG516" s="32" t="str">
        <f t="shared" si="271"/>
        <v>0.207613680319455i</v>
      </c>
      <c r="AH516" s="32">
        <f t="shared" si="285"/>
        <v>0.20761368031945501</v>
      </c>
      <c r="AI516" s="32">
        <f t="shared" si="286"/>
        <v>1.5707963267948966</v>
      </c>
      <c r="AJ516" s="32" t="str">
        <f t="shared" si="272"/>
        <v>1+72.0630143549942i</v>
      </c>
      <c r="AK516" s="32">
        <f t="shared" si="287"/>
        <v>72.069952392991766</v>
      </c>
      <c r="AL516" s="32">
        <f t="shared" si="288"/>
        <v>1.5569204734413085</v>
      </c>
      <c r="AM516" s="32" t="str">
        <f t="shared" si="273"/>
        <v>1+1558.36268542675i</v>
      </c>
      <c r="AN516" s="32">
        <f t="shared" si="289"/>
        <v>1558.3630062762884</v>
      </c>
      <c r="AO516" s="32">
        <f t="shared" si="290"/>
        <v>1.5701546277397971</v>
      </c>
      <c r="AP516" s="61" t="str">
        <f t="shared" si="291"/>
        <v>-0.0000273471081232581+0.00206628326508771i</v>
      </c>
      <c r="AQ516" s="52">
        <f t="shared" si="292"/>
        <v>-53.695442175280768</v>
      </c>
      <c r="AR516" s="64">
        <f t="shared" si="293"/>
        <v>90.758261186728305</v>
      </c>
      <c r="AS516" s="61" t="str">
        <f t="shared" si="294"/>
        <v>-0.00011706528279886+0.0000550052424799297i</v>
      </c>
      <c r="AT516" s="67">
        <f t="shared" si="295"/>
        <v>-77.765077676362012</v>
      </c>
      <c r="AU516" s="64">
        <f t="shared" si="296"/>
        <v>154.83266555197577</v>
      </c>
    </row>
    <row r="517" spans="14:47" x14ac:dyDescent="0.25">
      <c r="N517" s="11">
        <v>99</v>
      </c>
      <c r="O517" s="53">
        <f t="shared" si="297"/>
        <v>977237.22095581202</v>
      </c>
      <c r="P517" s="51" t="str">
        <f t="shared" si="265"/>
        <v>122.692307692308</v>
      </c>
      <c r="Q517" s="18" t="str">
        <f t="shared" si="266"/>
        <v>1+6293.66661204703i</v>
      </c>
      <c r="R517" s="18">
        <f t="shared" si="274"/>
        <v>6293.6666914919751</v>
      </c>
      <c r="S517" s="18">
        <f t="shared" si="275"/>
        <v>1.570637436905548</v>
      </c>
      <c r="T517" s="18" t="str">
        <f t="shared" si="267"/>
        <v>1+1.25873332240941i</v>
      </c>
      <c r="U517" s="18">
        <f t="shared" si="276"/>
        <v>1.607609895759488</v>
      </c>
      <c r="V517" s="18">
        <f t="shared" si="277"/>
        <v>0.89944903980095547</v>
      </c>
      <c r="W517" s="32" t="str">
        <f t="shared" si="268"/>
        <v>1-59.6255454074202i</v>
      </c>
      <c r="X517" s="18">
        <f t="shared" si="278"/>
        <v>59.633930485356466</v>
      </c>
      <c r="Y517" s="18">
        <f t="shared" si="279"/>
        <v>-1.5540265639397082</v>
      </c>
      <c r="Z517" s="32" t="str">
        <f t="shared" si="269"/>
        <v>-30.1834313802918+6.36276705672564i</v>
      </c>
      <c r="AA517" s="18">
        <f t="shared" si="280"/>
        <v>30.84678807439985</v>
      </c>
      <c r="AB517" s="18">
        <f t="shared" si="281"/>
        <v>2.9338312093637779</v>
      </c>
      <c r="AC517" s="69" t="str">
        <f t="shared" si="282"/>
        <v>0.0261706393555062+0.0546429640280001i</v>
      </c>
      <c r="AD517" s="67">
        <f t="shared" si="283"/>
        <v>-24.352444966204054</v>
      </c>
      <c r="AE517" s="64">
        <f t="shared" si="284"/>
        <v>64.408428122486995</v>
      </c>
      <c r="AF517" s="32" t="str">
        <f t="shared" si="270"/>
        <v>-0.0000198412698412698</v>
      </c>
      <c r="AG517" s="32" t="str">
        <f t="shared" si="271"/>
        <v>0.212449624172515i</v>
      </c>
      <c r="AH517" s="32">
        <f t="shared" si="285"/>
        <v>0.21244962417251501</v>
      </c>
      <c r="AI517" s="32">
        <f t="shared" si="286"/>
        <v>1.5707963267948966</v>
      </c>
      <c r="AJ517" s="32" t="str">
        <f t="shared" si="272"/>
        <v>1+73.741577592093i</v>
      </c>
      <c r="AK517" s="32">
        <f t="shared" si="287"/>
        <v>73.748357715753045</v>
      </c>
      <c r="AL517" s="32">
        <f t="shared" si="288"/>
        <v>1.5572362872576022</v>
      </c>
      <c r="AM517" s="32" t="str">
        <f t="shared" si="273"/>
        <v>1+1594.66161542901i</v>
      </c>
      <c r="AN517" s="32">
        <f t="shared" si="289"/>
        <v>1594.6619289751227</v>
      </c>
      <c r="AO517" s="32">
        <f t="shared" si="290"/>
        <v>1.5701692345897271</v>
      </c>
      <c r="AP517" s="61" t="str">
        <f t="shared" si="291"/>
        <v>-0.0000261165118100724+0.00201926560363932i</v>
      </c>
      <c r="AQ517" s="52">
        <f t="shared" si="292"/>
        <v>-53.895404623380323</v>
      </c>
      <c r="AR517" s="64">
        <f t="shared" si="293"/>
        <v>90.741003298795732</v>
      </c>
      <c r="AS517" s="61" t="str">
        <f t="shared" si="294"/>
        <v>-0.000111022143554446+0.0000514183882604485i</v>
      </c>
      <c r="AT517" s="67">
        <f t="shared" si="295"/>
        <v>-78.247849589584405</v>
      </c>
      <c r="AU517" s="64">
        <f t="shared" si="296"/>
        <v>155.14943142128266</v>
      </c>
    </row>
    <row r="518" spans="14:47" x14ac:dyDescent="0.25">
      <c r="N518" s="11">
        <v>100</v>
      </c>
      <c r="O518" s="53">
        <f t="shared" si="297"/>
        <v>1000000</v>
      </c>
      <c r="P518" s="51" t="str">
        <f t="shared" si="265"/>
        <v>122.692307692308</v>
      </c>
      <c r="Q518" s="18" t="str">
        <f t="shared" si="266"/>
        <v>1+6440.26493985908i</v>
      </c>
      <c r="R518" s="18">
        <f t="shared" si="274"/>
        <v>6440.265017495637</v>
      </c>
      <c r="S518" s="18">
        <f t="shared" si="275"/>
        <v>1.570641053680933</v>
      </c>
      <c r="T518" s="18" t="str">
        <f t="shared" si="267"/>
        <v>1+1.28805298797182i</v>
      </c>
      <c r="U518" s="18">
        <f t="shared" si="276"/>
        <v>1.6306687277994674</v>
      </c>
      <c r="V518" s="18">
        <f t="shared" si="277"/>
        <v>0.91063367061969969</v>
      </c>
      <c r="W518" s="32" t="str">
        <f t="shared" si="268"/>
        <v>1-61.0144027763309i</v>
      </c>
      <c r="X518" s="18">
        <f t="shared" si="278"/>
        <v>61.022597012519341</v>
      </c>
      <c r="Y518" s="18">
        <f t="shared" si="279"/>
        <v>-1.5544082212073083</v>
      </c>
      <c r="Z518" s="32" t="str">
        <f t="shared" si="269"/>
        <v>-31.6530612244898+6.51097494066218i</v>
      </c>
      <c r="AA518" s="18">
        <f t="shared" si="280"/>
        <v>32.315771374968456</v>
      </c>
      <c r="AB518" s="18">
        <f t="shared" si="281"/>
        <v>2.9387241915170863</v>
      </c>
      <c r="AC518" s="69" t="str">
        <f t="shared" si="282"/>
        <v>0.0250262242433917+0.0530555998481646i</v>
      </c>
      <c r="AD518" s="67">
        <f t="shared" si="283"/>
        <v>-24.632890035539006</v>
      </c>
      <c r="AE518" s="64">
        <f t="shared" si="284"/>
        <v>64.746838460576612</v>
      </c>
      <c r="AF518" s="32" t="str">
        <f t="shared" si="270"/>
        <v>-0.0000198412698412698</v>
      </c>
      <c r="AG518" s="32" t="str">
        <f t="shared" si="271"/>
        <v>0.217398211628414i</v>
      </c>
      <c r="AH518" s="32">
        <f t="shared" si="285"/>
        <v>0.217398211628414</v>
      </c>
      <c r="AI518" s="32">
        <f t="shared" si="286"/>
        <v>1.5707963267948966</v>
      </c>
      <c r="AJ518" s="32" t="str">
        <f t="shared" si="272"/>
        <v>1+75.4592395897161i</v>
      </c>
      <c r="AK518" s="32">
        <f t="shared" si="287"/>
        <v>75.465865392627535</v>
      </c>
      <c r="AL518" s="32">
        <f t="shared" si="288"/>
        <v>1.5575449148876768</v>
      </c>
      <c r="AM518" s="32" t="str">
        <f t="shared" si="273"/>
        <v>1+1631.80605612761i</v>
      </c>
      <c r="AN518" s="32">
        <f t="shared" si="289"/>
        <v>1631.8063625365435</v>
      </c>
      <c r="AO518" s="32">
        <f t="shared" si="290"/>
        <v>1.5701835089474183</v>
      </c>
      <c r="AP518" s="61" t="str">
        <f t="shared" si="291"/>
        <v>-0.0000249412815458595+0.0019733170812441i</v>
      </c>
      <c r="AQ518" s="52">
        <f t="shared" si="292"/>
        <v>-54.095368761289393</v>
      </c>
      <c r="AR518" s="64">
        <f t="shared" si="293"/>
        <v>90.72413809860231</v>
      </c>
      <c r="AS518" s="61" t="str">
        <f t="shared" si="294"/>
        <v>-0.000105319707540919+0.0000480614011251325i</v>
      </c>
      <c r="AT518" s="67">
        <f t="shared" si="295"/>
        <v>-78.728258796828428</v>
      </c>
      <c r="AU518" s="64">
        <f t="shared" si="296"/>
        <v>155.47097655917887</v>
      </c>
    </row>
    <row r="519" spans="14:47" x14ac:dyDescent="0.25">
      <c r="N519" s="11">
        <v>1</v>
      </c>
      <c r="O519" s="53">
        <f>10^(6+(N519/100))</f>
        <v>1023292.9922807553</v>
      </c>
      <c r="P519" s="51" t="str">
        <f t="shared" si="265"/>
        <v>122.692307692308</v>
      </c>
      <c r="Q519" s="18" t="str">
        <f t="shared" si="266"/>
        <v>1+6590.27798138924i</v>
      </c>
      <c r="R519" s="18">
        <f t="shared" si="274"/>
        <v>6590.2780572585734</v>
      </c>
      <c r="S519" s="18">
        <f t="shared" si="275"/>
        <v>1.5706445881284627</v>
      </c>
      <c r="T519" s="18" t="str">
        <f t="shared" si="267"/>
        <v>1+1.31805559627785i</v>
      </c>
      <c r="U519" s="18">
        <f t="shared" si="276"/>
        <v>1.6544698712516219</v>
      </c>
      <c r="V519" s="18">
        <f t="shared" si="277"/>
        <v>0.9217546582778996</v>
      </c>
      <c r="W519" s="32" t="str">
        <f t="shared" si="268"/>
        <v>1-62.4356107892149i</v>
      </c>
      <c r="X519" s="18">
        <f t="shared" si="278"/>
        <v>62.443618526013751</v>
      </c>
      <c r="Y519" s="18">
        <f t="shared" si="279"/>
        <v>-1.5547811955086215</v>
      </c>
      <c r="Z519" s="32" t="str">
        <f t="shared" si="269"/>
        <v>-33.1919525894171+6.66263502969522i</v>
      </c>
      <c r="AA519" s="18">
        <f t="shared" si="280"/>
        <v>33.854045876926349</v>
      </c>
      <c r="AB519" s="18">
        <f t="shared" si="281"/>
        <v>2.9434948526602316</v>
      </c>
      <c r="AC519" s="69" t="str">
        <f t="shared" si="282"/>
        <v>0.0239302213313324+0.0515276088549149i</v>
      </c>
      <c r="AD519" s="67">
        <f t="shared" si="283"/>
        <v>-24.911001146066894</v>
      </c>
      <c r="AE519" s="64">
        <f t="shared" si="284"/>
        <v>65.089113006160716</v>
      </c>
      <c r="AF519" s="32" t="str">
        <f t="shared" si="270"/>
        <v>-0.0000198412698412698</v>
      </c>
      <c r="AG519" s="32" t="str">
        <f t="shared" si="271"/>
        <v>0.222462066493724i</v>
      </c>
      <c r="AH519" s="32">
        <f t="shared" si="285"/>
        <v>0.22246206649372399</v>
      </c>
      <c r="AI519" s="32">
        <f t="shared" si="286"/>
        <v>1.5707963267948966</v>
      </c>
      <c r="AJ519" s="32" t="str">
        <f t="shared" si="272"/>
        <v>1+77.2169110749911i</v>
      </c>
      <c r="AK519" s="32">
        <f t="shared" si="287"/>
        <v>77.223386069008157</v>
      </c>
      <c r="AL519" s="32">
        <f t="shared" si="288"/>
        <v>1.5578465197346751</v>
      </c>
      <c r="AM519" s="32" t="str">
        <f t="shared" si="273"/>
        <v>1+1669.81570199668i</v>
      </c>
      <c r="AN519" s="32">
        <f t="shared" si="289"/>
        <v>1669.8160014308958</v>
      </c>
      <c r="AO519" s="32">
        <f t="shared" si="290"/>
        <v>1.5701974583813008</v>
      </c>
      <c r="AP519" s="61" t="str">
        <f t="shared" si="291"/>
        <v>-0.0000238189271992347+0.00192841343562437i</v>
      </c>
      <c r="AQ519" s="52">
        <f t="shared" si="292"/>
        <v>-54.295334512980808</v>
      </c>
      <c r="AR519" s="64">
        <f t="shared" si="293"/>
        <v>90.707656657476662</v>
      </c>
      <c r="AS519" s="61" t="str">
        <f t="shared" si="294"/>
        <v>-0.0000999365254211677+0.0000449200279687404i</v>
      </c>
      <c r="AT519" s="67">
        <f t="shared" si="295"/>
        <v>-79.20633565904771</v>
      </c>
      <c r="AU519" s="64">
        <f t="shared" si="296"/>
        <v>155.79676966363741</v>
      </c>
    </row>
    <row r="520" spans="14:47" x14ac:dyDescent="0.25">
      <c r="N520" s="11">
        <v>2</v>
      </c>
      <c r="O520" s="53">
        <f t="shared" ref="O520:O560" si="298">10^(6+(N520/100))</f>
        <v>1047128.5480509007</v>
      </c>
      <c r="P520" s="51" t="str">
        <f t="shared" si="265"/>
        <v>122.692307692308</v>
      </c>
      <c r="Q520" s="18" t="str">
        <f t="shared" si="266"/>
        <v>1+6743.78527553775i</v>
      </c>
      <c r="R520" s="18">
        <f t="shared" si="274"/>
        <v>6743.7853496800863</v>
      </c>
      <c r="S520" s="18">
        <f t="shared" si="275"/>
        <v>1.570648042122148</v>
      </c>
      <c r="T520" s="18" t="str">
        <f t="shared" si="267"/>
        <v>1+1.34875705510755i</v>
      </c>
      <c r="U520" s="18">
        <f t="shared" si="276"/>
        <v>1.6790311473294326</v>
      </c>
      <c r="V520" s="18">
        <f t="shared" si="277"/>
        <v>0.93280689652795945</v>
      </c>
      <c r="W520" s="32" t="str">
        <f t="shared" si="268"/>
        <v>1-63.8899229893722i</v>
      </c>
      <c r="X520" s="18">
        <f t="shared" si="278"/>
        <v>63.897748470410995</v>
      </c>
      <c r="Y520" s="18">
        <f t="shared" si="279"/>
        <v>-1.5551456841842459</v>
      </c>
      <c r="Z520" s="32" t="str">
        <f t="shared" si="269"/>
        <v>-34.8033696699815+6.81782773601139i</v>
      </c>
      <c r="AA520" s="18">
        <f t="shared" si="280"/>
        <v>35.464874388940309</v>
      </c>
      <c r="AB520" s="18">
        <f t="shared" si="281"/>
        <v>2.9481467083354551</v>
      </c>
      <c r="AC520" s="69" t="str">
        <f t="shared" si="282"/>
        <v>0.0228807435671543+0.050056057219666i</v>
      </c>
      <c r="AD520" s="67">
        <f t="shared" si="283"/>
        <v>-25.18681042552485</v>
      </c>
      <c r="AE520" s="64">
        <f t="shared" si="284"/>
        <v>65.434746352913834</v>
      </c>
      <c r="AF520" s="32" t="str">
        <f t="shared" si="270"/>
        <v>-0.0000198412698412698</v>
      </c>
      <c r="AG520" s="32" t="str">
        <f t="shared" si="271"/>
        <v>0.227643873691323i</v>
      </c>
      <c r="AH520" s="32">
        <f t="shared" si="285"/>
        <v>0.227643873691323</v>
      </c>
      <c r="AI520" s="32">
        <f t="shared" si="286"/>
        <v>1.5707963267948966</v>
      </c>
      <c r="AJ520" s="32" t="str">
        <f t="shared" si="272"/>
        <v>1+79.0155239886044i</v>
      </c>
      <c r="AK520" s="32">
        <f t="shared" si="287"/>
        <v>79.021851605702821</v>
      </c>
      <c r="AL520" s="32">
        <f t="shared" si="288"/>
        <v>1.5581412614938681</v>
      </c>
      <c r="AM520" s="32" t="str">
        <f t="shared" si="273"/>
        <v>1+1708.71070625357i</v>
      </c>
      <c r="AN520" s="32">
        <f t="shared" si="289"/>
        <v>1708.7109988718321</v>
      </c>
      <c r="AO520" s="32">
        <f t="shared" si="290"/>
        <v>1.570211090287527</v>
      </c>
      <c r="AP520" s="61" t="str">
        <f t="shared" si="291"/>
        <v>-0.0000227470705591498+0.00188453095182334i</v>
      </c>
      <c r="AQ520" s="52">
        <f t="shared" si="292"/>
        <v>-54.495301805846864</v>
      </c>
      <c r="AR520" s="64">
        <f t="shared" si="293"/>
        <v>90.691550249322134</v>
      </c>
      <c r="AS520" s="61" t="str">
        <f t="shared" si="294"/>
        <v>-0.0000948526590450686+0.0000419808407875465i</v>
      </c>
      <c r="AT520" s="67">
        <f t="shared" si="295"/>
        <v>-79.682112231371704</v>
      </c>
      <c r="AU520" s="64">
        <f t="shared" si="296"/>
        <v>156.12629660223593</v>
      </c>
    </row>
    <row r="521" spans="14:47" x14ac:dyDescent="0.25">
      <c r="N521" s="11">
        <v>3</v>
      </c>
      <c r="O521" s="53">
        <f t="shared" si="298"/>
        <v>1071519.3052376076</v>
      </c>
      <c r="P521" s="51" t="str">
        <f t="shared" si="265"/>
        <v>122.692307692308</v>
      </c>
      <c r="Q521" s="18" t="str">
        <f t="shared" si="266"/>
        <v>1+6900.86821390392i</v>
      </c>
      <c r="R521" s="18">
        <f t="shared" si="274"/>
        <v>6900.8682863585709</v>
      </c>
      <c r="S521" s="18">
        <f t="shared" si="275"/>
        <v>1.5706514174933415</v>
      </c>
      <c r="T521" s="18" t="str">
        <f t="shared" si="267"/>
        <v>1+1.38017364278078i</v>
      </c>
      <c r="U521" s="18">
        <f t="shared" si="276"/>
        <v>1.7043706416817817</v>
      </c>
      <c r="V521" s="18">
        <f t="shared" si="277"/>
        <v>0.94378544538456799</v>
      </c>
      <c r="W521" s="32" t="str">
        <f t="shared" si="268"/>
        <v>1-65.3781104723816i</v>
      </c>
      <c r="X521" s="18">
        <f t="shared" si="278"/>
        <v>65.385757844800821</v>
      </c>
      <c r="Y521" s="18">
        <f t="shared" si="279"/>
        <v>-1.5555018801032952</v>
      </c>
      <c r="Z521" s="32" t="str">
        <f t="shared" si="269"/>
        <v>-36.4907304978573+6.97663534483781i</v>
      </c>
      <c r="AA521" s="18">
        <f t="shared" si="280"/>
        <v>37.151673623163909</v>
      </c>
      <c r="AB521" s="18">
        <f t="shared" si="281"/>
        <v>2.9526831452766977</v>
      </c>
      <c r="AC521" s="69" t="str">
        <f t="shared" si="282"/>
        <v>0.0218759606248941+0.0486381864880624i</v>
      </c>
      <c r="AD521" s="67">
        <f t="shared" si="283"/>
        <v>-25.460351591206056</v>
      </c>
      <c r="AE521" s="64">
        <f t="shared" si="284"/>
        <v>65.783250259450213</v>
      </c>
      <c r="AF521" s="32" t="str">
        <f t="shared" si="270"/>
        <v>-0.0000198412698412698</v>
      </c>
      <c r="AG521" s="32" t="str">
        <f t="shared" si="271"/>
        <v>0.232946380683976i</v>
      </c>
      <c r="AH521" s="32">
        <f t="shared" si="285"/>
        <v>0.232946380683976</v>
      </c>
      <c r="AI521" s="32">
        <f t="shared" si="286"/>
        <v>1.5707963267948966</v>
      </c>
      <c r="AJ521" s="32" t="str">
        <f t="shared" si="272"/>
        <v>1+80.8560319789307i</v>
      </c>
      <c r="AK521" s="32">
        <f t="shared" si="287"/>
        <v>80.862215573021899</v>
      </c>
      <c r="AL521" s="32">
        <f t="shared" si="288"/>
        <v>1.5584292962362802</v>
      </c>
      <c r="AM521" s="32" t="str">
        <f t="shared" si="273"/>
        <v>1+1748.51169154438i</v>
      </c>
      <c r="AN521" s="32">
        <f t="shared" si="289"/>
        <v>1748.5119775018384</v>
      </c>
      <c r="AO521" s="32">
        <f t="shared" si="290"/>
        <v>1.5702244118938942</v>
      </c>
      <c r="AP521" s="61" t="str">
        <f t="shared" si="291"/>
        <v>-0.0000217234403111954+0.00184164645007704i</v>
      </c>
      <c r="AQ521" s="52">
        <f t="shared" si="292"/>
        <v>-54.695270570545432</v>
      </c>
      <c r="AR521" s="64">
        <f t="shared" si="293"/>
        <v>90.675810346049957</v>
      </c>
      <c r="AS521" s="61" t="str">
        <f t="shared" si="294"/>
        <v>-0.0000900495646088101+0.0000392311964858431i</v>
      </c>
      <c r="AT521" s="67">
        <f t="shared" si="295"/>
        <v>-80.155622161751495</v>
      </c>
      <c r="AU521" s="64">
        <f t="shared" si="296"/>
        <v>156.45906060550016</v>
      </c>
    </row>
    <row r="522" spans="14:47" x14ac:dyDescent="0.25">
      <c r="N522" s="11">
        <v>4</v>
      </c>
      <c r="O522" s="53">
        <f t="shared" si="298"/>
        <v>1096478.196143186</v>
      </c>
      <c r="P522" s="51" t="str">
        <f t="shared" si="265"/>
        <v>122.692307692308</v>
      </c>
      <c r="Q522" s="18" t="str">
        <f t="shared" si="266"/>
        <v>1+7061.61008394088i</v>
      </c>
      <c r="R522" s="18">
        <f t="shared" si="274"/>
        <v>7061.6101547462622</v>
      </c>
      <c r="S522" s="18">
        <f t="shared" si="275"/>
        <v>1.5706547160317097</v>
      </c>
      <c r="T522" s="18" t="str">
        <f t="shared" si="267"/>
        <v>1+1.41232201678818i</v>
      </c>
      <c r="U522" s="18">
        <f t="shared" si="276"/>
        <v>1.73050671166125</v>
      </c>
      <c r="V522" s="18">
        <f t="shared" si="277"/>
        <v>0.95468554029177699</v>
      </c>
      <c r="W522" s="32" t="str">
        <f t="shared" si="268"/>
        <v>1-66.9009622949451i</v>
      </c>
      <c r="X522" s="18">
        <f t="shared" si="278"/>
        <v>66.908435611585375</v>
      </c>
      <c r="Y522" s="18">
        <f t="shared" si="279"/>
        <v>-1.5558499717638126</v>
      </c>
      <c r="Z522" s="32" t="str">
        <f t="shared" si="269"/>
        <v>-38.2576141915889+7.13914205807075i</v>
      </c>
      <c r="AA522" s="18">
        <f t="shared" si="280"/>
        <v>38.918021441971831</v>
      </c>
      <c r="AB522" s="18">
        <f t="shared" si="281"/>
        <v>2.9571074275803979</v>
      </c>
      <c r="AC522" s="69" t="str">
        <f t="shared" si="282"/>
        <v>0.0209140991595365+0.0472714020791628i</v>
      </c>
      <c r="AD522" s="67">
        <f t="shared" si="283"/>
        <v>-25.731659845287705</v>
      </c>
      <c r="AE522" s="64">
        <f t="shared" si="284"/>
        <v>66.134153815190587</v>
      </c>
      <c r="AF522" s="32" t="str">
        <f t="shared" si="270"/>
        <v>-0.0000198412698412698</v>
      </c>
      <c r="AG522" s="32" t="str">
        <f t="shared" si="271"/>
        <v>0.238372398931078i</v>
      </c>
      <c r="AH522" s="32">
        <f t="shared" si="285"/>
        <v>0.23837239893107801</v>
      </c>
      <c r="AI522" s="32">
        <f t="shared" si="286"/>
        <v>1.5707963267948966</v>
      </c>
      <c r="AJ522" s="32" t="str">
        <f t="shared" si="272"/>
        <v>1+82.7394109076683i</v>
      </c>
      <c r="AK522" s="32">
        <f t="shared" si="287"/>
        <v>82.745453756372498</v>
      </c>
      <c r="AL522" s="32">
        <f t="shared" si="288"/>
        <v>1.5587107764904626</v>
      </c>
      <c r="AM522" s="32" t="str">
        <f t="shared" si="273"/>
        <v>1+1789.23976087833i</v>
      </c>
      <c r="AN522" s="32">
        <f t="shared" si="289"/>
        <v>1789.2400403266031</v>
      </c>
      <c r="AO522" s="32">
        <f t="shared" si="290"/>
        <v>1.5702374302636752</v>
      </c>
      <c r="AP522" s="61" t="str">
        <f t="shared" si="291"/>
        <v>-0.0000207458672388127+0.0017997372739402i</v>
      </c>
      <c r="AQ522" s="52">
        <f t="shared" si="292"/>
        <v>-54.89524074085363</v>
      </c>
      <c r="AR522" s="64">
        <f t="shared" si="293"/>
        <v>90.660428613113623</v>
      </c>
      <c r="AS522" s="61" t="str">
        <f t="shared" si="294"/>
        <v>-0.0000855099854378667+0.0000366591975765724i</v>
      </c>
      <c r="AT522" s="67">
        <f t="shared" si="295"/>
        <v>-80.626900586141346</v>
      </c>
      <c r="AU522" s="64">
        <f t="shared" si="296"/>
        <v>156.79458242830424</v>
      </c>
    </row>
    <row r="523" spans="14:47" x14ac:dyDescent="0.25">
      <c r="N523" s="11">
        <v>5</v>
      </c>
      <c r="O523" s="53">
        <f t="shared" si="298"/>
        <v>1122018.4543019643</v>
      </c>
      <c r="P523" s="51" t="str">
        <f t="shared" si="265"/>
        <v>122.692307692308</v>
      </c>
      <c r="Q523" s="18" t="str">
        <f t="shared" si="266"/>
        <v>1+7226.09611311581i</v>
      </c>
      <c r="R523" s="18">
        <f t="shared" si="274"/>
        <v>7226.0961823094649</v>
      </c>
      <c r="S523" s="18">
        <f t="shared" si="275"/>
        <v>1.5706579394861808</v>
      </c>
      <c r="T523" s="18" t="str">
        <f t="shared" si="267"/>
        <v>1+1.44521922262316i</v>
      </c>
      <c r="U523" s="18">
        <f t="shared" si="276"/>
        <v>1.7574579942176403</v>
      </c>
      <c r="V523" s="18">
        <f t="shared" si="277"/>
        <v>0.96550260032571256</v>
      </c>
      <c r="W523" s="32" t="str">
        <f t="shared" si="268"/>
        <v>1-68.4592858932562i</v>
      </c>
      <c r="X523" s="18">
        <f t="shared" si="278"/>
        <v>68.466589114798069</v>
      </c>
      <c r="Y523" s="18">
        <f t="shared" si="279"/>
        <v>-1.5561901433909906</v>
      </c>
      <c r="Z523" s="32" t="str">
        <f t="shared" si="269"/>
        <v>-40.1077685483809+7.30543403892061i</v>
      </c>
      <c r="AA523" s="18">
        <f t="shared" si="280"/>
        <v>40.767664446562456</v>
      </c>
      <c r="AB523" s="18">
        <f t="shared" si="281"/>
        <v>2.9614227025238984</v>
      </c>
      <c r="AC523" s="69" t="str">
        <f t="shared" si="282"/>
        <v>0.0199934427612073+0.0459532625660876i</v>
      </c>
      <c r="AD523" s="67">
        <f t="shared" si="283"/>
        <v>-26.000771767292406</v>
      </c>
      <c r="AE523" s="64">
        <f t="shared" si="284"/>
        <v>66.487003571289421</v>
      </c>
      <c r="AF523" s="32" t="str">
        <f t="shared" si="270"/>
        <v>-0.0000198412698412698</v>
      </c>
      <c r="AG523" s="32" t="str">
        <f t="shared" si="271"/>
        <v>0.243924805379324i</v>
      </c>
      <c r="AH523" s="32">
        <f t="shared" si="285"/>
        <v>0.24392480537932401</v>
      </c>
      <c r="AI523" s="32">
        <f t="shared" si="286"/>
        <v>1.5707963267948966</v>
      </c>
      <c r="AJ523" s="32" t="str">
        <f t="shared" si="272"/>
        <v>1+84.6666593672548i</v>
      </c>
      <c r="AK523" s="32">
        <f t="shared" si="287"/>
        <v>84.672564673634128</v>
      </c>
      <c r="AL523" s="32">
        <f t="shared" si="288"/>
        <v>1.5589858513224535</v>
      </c>
      <c r="AM523" s="32" t="str">
        <f t="shared" si="273"/>
        <v>1+1830.91650881689i</v>
      </c>
      <c r="AN523" s="32">
        <f t="shared" si="289"/>
        <v>1830.9167819041445</v>
      </c>
      <c r="AO523" s="32">
        <f t="shared" si="290"/>
        <v>1.5702501522993646</v>
      </c>
      <c r="AP523" s="61" t="str">
        <f t="shared" si="291"/>
        <v>-0.0000198122796394043+0.00175878127866205i</v>
      </c>
      <c r="AQ523" s="52">
        <f t="shared" si="292"/>
        <v>-55.095212253526981</v>
      </c>
      <c r="AR523" s="64">
        <f t="shared" si="293"/>
        <v>90.645396905142093</v>
      </c>
      <c r="AS523" s="61" t="str">
        <f t="shared" si="294"/>
        <v>-0.0000812178535736159+0.0000342536539361104i</v>
      </c>
      <c r="AT523" s="67">
        <f t="shared" si="295"/>
        <v>-81.095984020819401</v>
      </c>
      <c r="AU523" s="64">
        <f t="shared" si="296"/>
        <v>157.13240047643149</v>
      </c>
    </row>
    <row r="524" spans="14:47" x14ac:dyDescent="0.25">
      <c r="N524" s="11">
        <v>6</v>
      </c>
      <c r="O524" s="53">
        <f t="shared" si="298"/>
        <v>1148153.6214968837</v>
      </c>
      <c r="P524" s="51" t="str">
        <f t="shared" si="265"/>
        <v>122.692307692308</v>
      </c>
      <c r="Q524" s="18" t="str">
        <f t="shared" si="266"/>
        <v>1+7394.41351409861i</v>
      </c>
      <c r="R524" s="18">
        <f t="shared" si="274"/>
        <v>7394.4135817172237</v>
      </c>
      <c r="S524" s="18">
        <f t="shared" si="275"/>
        <v>1.5706610895658728</v>
      </c>
      <c r="T524" s="18" t="str">
        <f t="shared" si="267"/>
        <v>1+1.47888270281972i</v>
      </c>
      <c r="U524" s="18">
        <f t="shared" si="276"/>
        <v>1.7852434144114242</v>
      </c>
      <c r="V524" s="18">
        <f t="shared" si="277"/>
        <v>0.97623223541441084</v>
      </c>
      <c r="W524" s="32" t="str">
        <f t="shared" si="268"/>
        <v>1-70.0539075111138i</v>
      </c>
      <c r="X524" s="18">
        <f t="shared" si="278"/>
        <v>70.06104450816936</v>
      </c>
      <c r="Y524" s="18">
        <f t="shared" si="279"/>
        <v>-1.5565225750332392</v>
      </c>
      <c r="Z524" s="32" t="str">
        <f t="shared" si="269"/>
        <v>-42.0451179936785+7.47559945759675i</v>
      </c>
      <c r="AA524" s="18">
        <f t="shared" si="280"/>
        <v>42.70452592352207</v>
      </c>
      <c r="AB524" s="18">
        <f t="shared" si="281"/>
        <v>2.9656320060528141</v>
      </c>
      <c r="AC524" s="69" t="str">
        <f t="shared" si="282"/>
        <v>0.0191123316531742+0.0446814696852089i</v>
      </c>
      <c r="AD524" s="67">
        <f t="shared" si="283"/>
        <v>-26.267725204309066</v>
      </c>
      <c r="AE524" s="64">
        <f t="shared" si="284"/>
        <v>66.841363634342073</v>
      </c>
      <c r="AF524" s="32" t="str">
        <f t="shared" si="270"/>
        <v>-0.0000198412698412698</v>
      </c>
      <c r="AG524" s="32" t="str">
        <f t="shared" si="271"/>
        <v>0.249606543988109i</v>
      </c>
      <c r="AH524" s="32">
        <f t="shared" si="285"/>
        <v>0.249606543988109</v>
      </c>
      <c r="AI524" s="32">
        <f t="shared" si="286"/>
        <v>1.5707963267948966</v>
      </c>
      <c r="AJ524" s="32" t="str">
        <f t="shared" si="272"/>
        <v>1+86.6387992103335i</v>
      </c>
      <c r="AK524" s="32">
        <f t="shared" si="287"/>
        <v>86.644570104585796</v>
      </c>
      <c r="AL524" s="32">
        <f t="shared" si="288"/>
        <v>1.5592546664139633</v>
      </c>
      <c r="AM524" s="32" t="str">
        <f t="shared" si="273"/>
        <v>1+1873.56403292346i</v>
      </c>
      <c r="AN524" s="32">
        <f t="shared" si="289"/>
        <v>1873.5642997944904</v>
      </c>
      <c r="AO524" s="32">
        <f t="shared" si="290"/>
        <v>1.5702625847463372</v>
      </c>
      <c r="AP524" s="61" t="str">
        <f t="shared" si="291"/>
        <v>-0.0000189206989457592+0.00171875681980732i</v>
      </c>
      <c r="AQ524" s="52">
        <f t="shared" si="292"/>
        <v>-55.295185048166083</v>
      </c>
      <c r="AR524" s="64">
        <f t="shared" si="293"/>
        <v>90.630707261669713</v>
      </c>
      <c r="AS524" s="61" t="str">
        <f t="shared" si="294"/>
        <v>-0.000077158199413828+0.0000320040457349446i</v>
      </c>
      <c r="AT524" s="67">
        <f t="shared" si="295"/>
        <v>-81.562910252475149</v>
      </c>
      <c r="AU524" s="64">
        <f t="shared" si="296"/>
        <v>157.47207089601176</v>
      </c>
    </row>
    <row r="525" spans="14:47" x14ac:dyDescent="0.25">
      <c r="N525" s="11">
        <v>7</v>
      </c>
      <c r="O525" s="53">
        <f t="shared" si="298"/>
        <v>1174897.5549395324</v>
      </c>
      <c r="P525" s="51" t="str">
        <f t="shared" si="265"/>
        <v>122.692307692308</v>
      </c>
      <c r="Q525" s="18" t="str">
        <f t="shared" si="266"/>
        <v>1+7566.65153100322i</v>
      </c>
      <c r="R525" s="18">
        <f t="shared" si="274"/>
        <v>7566.6515970826476</v>
      </c>
      <c r="S525" s="18">
        <f t="shared" si="275"/>
        <v>1.5706641679409992</v>
      </c>
      <c r="T525" s="18" t="str">
        <f t="shared" si="267"/>
        <v>1+1.51333030620065i</v>
      </c>
      <c r="U525" s="18">
        <f t="shared" si="276"/>
        <v>1.813882194538927</v>
      </c>
      <c r="V525" s="18">
        <f t="shared" si="277"/>
        <v>0.98687025256520244</v>
      </c>
      <c r="W525" s="32" t="str">
        <f t="shared" si="268"/>
        <v>1-71.685672638007i</v>
      </c>
      <c r="X525" s="18">
        <f t="shared" si="278"/>
        <v>71.692647193164134</v>
      </c>
      <c r="Y525" s="18">
        <f t="shared" si="279"/>
        <v>-1.5568474426561485</v>
      </c>
      <c r="Z525" s="32" t="str">
        <f t="shared" si="269"/>
        <v>-44.0737719054004+7.64972853805657i</v>
      </c>
      <c r="AA525" s="18">
        <f t="shared" si="280"/>
        <v>44.732714166202996</v>
      </c>
      <c r="AB525" s="18">
        <f t="shared" si="281"/>
        <v>2.9697382679574633</v>
      </c>
      <c r="AC525" s="69" t="str">
        <f t="shared" si="282"/>
        <v>0.0182691621726162+0.043453859024286i</v>
      </c>
      <c r="AD525" s="67">
        <f t="shared" si="283"/>
        <v>-26.5325591596166</v>
      </c>
      <c r="AE525" s="64">
        <f t="shared" si="284"/>
        <v>67.196815721162849</v>
      </c>
      <c r="AF525" s="32" t="str">
        <f t="shared" si="270"/>
        <v>-0.0000198412698412698</v>
      </c>
      <c r="AG525" s="32" t="str">
        <f t="shared" si="271"/>
        <v>0.25542062729045i</v>
      </c>
      <c r="AH525" s="32">
        <f t="shared" si="285"/>
        <v>0.25542062729045001</v>
      </c>
      <c r="AI525" s="32">
        <f t="shared" si="286"/>
        <v>1.5707963267948966</v>
      </c>
      <c r="AJ525" s="32" t="str">
        <f t="shared" si="272"/>
        <v>1+88.6568760915538i</v>
      </c>
      <c r="AK525" s="32">
        <f t="shared" si="287"/>
        <v>88.662515632668132</v>
      </c>
      <c r="AL525" s="32">
        <f t="shared" si="288"/>
        <v>1.5595173641388225</v>
      </c>
      <c r="AM525" s="32" t="str">
        <f t="shared" si="273"/>
        <v>1+1917.20494547985i</v>
      </c>
      <c r="AN525" s="32">
        <f t="shared" si="289"/>
        <v>1917.2052062761552</v>
      </c>
      <c r="AO525" s="32">
        <f t="shared" si="290"/>
        <v>1.5702747341964258</v>
      </c>
      <c r="AP525" s="61" t="str">
        <f t="shared" si="291"/>
        <v>-0.0000180692355436463+0.00167964274211853i</v>
      </c>
      <c r="AQ525" s="52">
        <f t="shared" si="292"/>
        <v>-55.495159067088338</v>
      </c>
      <c r="AR525" s="64">
        <f t="shared" si="293"/>
        <v>90.616351902961071</v>
      </c>
      <c r="AS525" s="61" t="str">
        <f t="shared" si="294"/>
        <v>-0.0000733170687216658+0.000029900487633831i</v>
      </c>
      <c r="AT525" s="67">
        <f t="shared" si="295"/>
        <v>-82.027718226704934</v>
      </c>
      <c r="AU525" s="64">
        <f t="shared" si="296"/>
        <v>157.81316762412391</v>
      </c>
    </row>
    <row r="526" spans="14:47" x14ac:dyDescent="0.25">
      <c r="N526" s="11">
        <v>8</v>
      </c>
      <c r="O526" s="53">
        <f t="shared" si="298"/>
        <v>1202264.4346174158</v>
      </c>
      <c r="P526" s="51" t="str">
        <f t="shared" si="265"/>
        <v>122.692307692308</v>
      </c>
      <c r="Q526" s="18" t="str">
        <f t="shared" si="266"/>
        <v>1+7742.90148670604i</v>
      </c>
      <c r="R526" s="18">
        <f t="shared" si="274"/>
        <v>7742.9015512813157</v>
      </c>
      <c r="S526" s="18">
        <f t="shared" si="275"/>
        <v>1.5706671762437554</v>
      </c>
      <c r="T526" s="18" t="str">
        <f t="shared" si="267"/>
        <v>1+1.54858029734121i</v>
      </c>
      <c r="U526" s="18">
        <f t="shared" si="276"/>
        <v>1.8433938638591021</v>
      </c>
      <c r="V526" s="18">
        <f t="shared" si="277"/>
        <v>0.99741266109897087</v>
      </c>
      <c r="W526" s="32" t="str">
        <f t="shared" si="268"/>
        <v>1-73.3554464574047i</v>
      </c>
      <c r="X526" s="18">
        <f t="shared" si="278"/>
        <v>73.362262267225418</v>
      </c>
      <c r="Y526" s="18">
        <f t="shared" si="279"/>
        <v>-1.5571649182343852</v>
      </c>
      <c r="Z526" s="32" t="str">
        <f t="shared" si="269"/>
        <v>-46.1980333304794+7.82791360584339i</v>
      </c>
      <c r="AA526" s="18">
        <f t="shared" si="280"/>
        <v>46.856531188561462</v>
      </c>
      <c r="AB526" s="18">
        <f t="shared" si="281"/>
        <v>2.9737443167573039</v>
      </c>
      <c r="AC526" s="69" t="str">
        <f t="shared" si="282"/>
        <v>0.0174623860683526+0.04226839134318i</v>
      </c>
      <c r="AD526" s="67">
        <f t="shared" si="283"/>
        <v>-26.795313680351317</v>
      </c>
      <c r="AE526" s="64">
        <f t="shared" si="284"/>
        <v>67.552959173513116</v>
      </c>
      <c r="AF526" s="32" t="str">
        <f t="shared" si="270"/>
        <v>-0.0000198412698412698</v>
      </c>
      <c r="AG526" s="32" t="str">
        <f t="shared" si="271"/>
        <v>0.261370137990272i</v>
      </c>
      <c r="AH526" s="32">
        <f t="shared" si="285"/>
        <v>0.26137013799027198</v>
      </c>
      <c r="AI526" s="32">
        <f t="shared" si="286"/>
        <v>1.5707963267948966</v>
      </c>
      <c r="AJ526" s="32" t="str">
        <f t="shared" si="272"/>
        <v>1+90.7219600219901i</v>
      </c>
      <c r="AK526" s="32">
        <f t="shared" si="287"/>
        <v>90.7274711993648</v>
      </c>
      <c r="AL526" s="32">
        <f t="shared" si="288"/>
        <v>1.5597740836377285</v>
      </c>
      <c r="AM526" s="32" t="str">
        <f t="shared" si="273"/>
        <v>1+1961.86238547554i</v>
      </c>
      <c r="AN526" s="32">
        <f t="shared" si="289"/>
        <v>1961.8626403353969</v>
      </c>
      <c r="AO526" s="32">
        <f t="shared" si="290"/>
        <v>1.5702866070914154</v>
      </c>
      <c r="AP526" s="61" t="str">
        <f t="shared" si="291"/>
        <v>-0.0000172560847768191+0.00164141836861497i</v>
      </c>
      <c r="AQ526" s="52">
        <f t="shared" si="292"/>
        <v>-55.695134255205957</v>
      </c>
      <c r="AR526" s="64">
        <f t="shared" si="293"/>
        <v>90.602323225928558</v>
      </c>
      <c r="AS526" s="61" t="str">
        <f t="shared" si="294"/>
        <v>-0.0000696814463769027+0.0000279336943080424i</v>
      </c>
      <c r="AT526" s="67">
        <f t="shared" si="295"/>
        <v>-82.49044793555727</v>
      </c>
      <c r="AU526" s="64">
        <f t="shared" si="296"/>
        <v>158.15528239944169</v>
      </c>
    </row>
    <row r="527" spans="14:47" x14ac:dyDescent="0.25">
      <c r="N527" s="11">
        <v>9</v>
      </c>
      <c r="O527" s="53">
        <f t="shared" si="298"/>
        <v>1230268.770812382</v>
      </c>
      <c r="P527" s="51" t="str">
        <f t="shared" si="265"/>
        <v>122.692307692308</v>
      </c>
      <c r="Q527" s="18" t="str">
        <f t="shared" si="266"/>
        <v>1+7923.25683126651i</v>
      </c>
      <c r="R527" s="18">
        <f t="shared" si="274"/>
        <v>7923.2568943718725</v>
      </c>
      <c r="S527" s="18">
        <f t="shared" si="275"/>
        <v>1.5706701160691829</v>
      </c>
      <c r="T527" s="18" t="str">
        <f t="shared" si="267"/>
        <v>1+1.5846513662533i</v>
      </c>
      <c r="U527" s="18">
        <f t="shared" si="276"/>
        <v>1.8737982689095565</v>
      </c>
      <c r="V527" s="18">
        <f t="shared" si="277"/>
        <v>1.0078556768988556</v>
      </c>
      <c r="W527" s="32" t="str">
        <f t="shared" si="268"/>
        <v>1-75.0641143054882i</v>
      </c>
      <c r="X527" s="18">
        <f t="shared" si="278"/>
        <v>75.070774982461714</v>
      </c>
      <c r="Y527" s="18">
        <f t="shared" si="279"/>
        <v>-1.5574751698415679</v>
      </c>
      <c r="Z527" s="32" t="str">
        <f t="shared" si="269"/>
        <v>-48.4224081122026+8.01024913703869i</v>
      </c>
      <c r="AA527" s="18">
        <f t="shared" si="280"/>
        <v>49.080481849938408</v>
      </c>
      <c r="AB527" s="18">
        <f t="shared" si="281"/>
        <v>2.9776528843111931</v>
      </c>
      <c r="AC527" s="69" t="str">
        <f t="shared" si="282"/>
        <v>0.016690509645511+0.0411231444837837i</v>
      </c>
      <c r="AD527" s="67">
        <f t="shared" si="283"/>
        <v>-27.056029744856435</v>
      </c>
      <c r="AE527" s="64">
        <f t="shared" si="284"/>
        <v>67.909410932187171</v>
      </c>
      <c r="AF527" s="32" t="str">
        <f t="shared" si="270"/>
        <v>-0.0000198412698412698</v>
      </c>
      <c r="AG527" s="32" t="str">
        <f t="shared" si="271"/>
        <v>0.267458230596899i</v>
      </c>
      <c r="AH527" s="32">
        <f t="shared" si="285"/>
        <v>0.26745823059689899</v>
      </c>
      <c r="AI527" s="32">
        <f t="shared" si="286"/>
        <v>1.5707963267948966</v>
      </c>
      <c r="AJ527" s="32" t="str">
        <f t="shared" si="272"/>
        <v>1+92.8351459364771i</v>
      </c>
      <c r="AK527" s="32">
        <f t="shared" si="287"/>
        <v>92.840531671501111</v>
      </c>
      <c r="AL527" s="32">
        <f t="shared" si="288"/>
        <v>1.5600249608913273</v>
      </c>
      <c r="AM527" s="32" t="str">
        <f t="shared" si="273"/>
        <v>1+2007.56003087632i</v>
      </c>
      <c r="AN527" s="32">
        <f t="shared" si="289"/>
        <v>2007.5602799348594</v>
      </c>
      <c r="AO527" s="32">
        <f t="shared" si="290"/>
        <v>1.5702982097264588</v>
      </c>
      <c r="AP527" s="61" t="str">
        <f t="shared" si="291"/>
        <v>-0.0000164795231310754+0.00160406348992425i</v>
      </c>
      <c r="AQ527" s="52">
        <f t="shared" si="292"/>
        <v>-55.895110559909405</v>
      </c>
      <c r="AR527" s="64">
        <f t="shared" si="293"/>
        <v>90.58861380014072</v>
      </c>
      <c r="AS527" s="61" t="str">
        <f t="shared" si="294"/>
        <v>-0.0000662391862970899+0.0000260949473398497i</v>
      </c>
      <c r="AT527" s="67">
        <f t="shared" si="295"/>
        <v>-82.951140304765843</v>
      </c>
      <c r="AU527" s="64">
        <f t="shared" si="296"/>
        <v>158.49802473232788</v>
      </c>
    </row>
    <row r="528" spans="14:47" x14ac:dyDescent="0.25">
      <c r="N528" s="11">
        <v>10</v>
      </c>
      <c r="O528" s="53">
        <f t="shared" si="298"/>
        <v>1258925.4117941677</v>
      </c>
      <c r="P528" s="51" t="str">
        <f t="shared" si="265"/>
        <v>122.692307692308</v>
      </c>
      <c r="Q528" s="18" t="str">
        <f t="shared" si="266"/>
        <v>1+8107.81319147562i</v>
      </c>
      <c r="R528" s="18">
        <f t="shared" si="274"/>
        <v>8107.8132531445299</v>
      </c>
      <c r="S528" s="18">
        <f t="shared" si="275"/>
        <v>1.5706729889760158</v>
      </c>
      <c r="T528" s="18" t="str">
        <f t="shared" si="267"/>
        <v>1+1.62156263829513i</v>
      </c>
      <c r="U528" s="18">
        <f t="shared" si="276"/>
        <v>1.9051155843976142</v>
      </c>
      <c r="V528" s="18">
        <f t="shared" si="277"/>
        <v>1.0181957256887488</v>
      </c>
      <c r="W528" s="32" t="str">
        <f t="shared" si="268"/>
        <v>1-76.8125821405675i</v>
      </c>
      <c r="X528" s="18">
        <f t="shared" si="278"/>
        <v>76.819091215019128</v>
      </c>
      <c r="Y528" s="18">
        <f t="shared" si="279"/>
        <v>-1.5577783617381589</v>
      </c>
      <c r="Z528" s="32" t="str">
        <f t="shared" si="269"/>
        <v>-50.7516144477097+8.19683180835465i</v>
      </c>
      <c r="AA528" s="18">
        <f t="shared" si="280"/>
        <v>51.409283410133526</v>
      </c>
      <c r="AB528" s="18">
        <f t="shared" si="281"/>
        <v>2.981466610170211</v>
      </c>
      <c r="AC528" s="69" t="str">
        <f t="shared" si="282"/>
        <v>0.0159520927833973+0.0400163058286839i</v>
      </c>
      <c r="AD528" s="67">
        <f t="shared" si="283"/>
        <v>-27.314749150335086</v>
      </c>
      <c r="AE528" s="64">
        <f t="shared" si="284"/>
        <v>68.26580547037203</v>
      </c>
      <c r="AF528" s="32" t="str">
        <f t="shared" si="270"/>
        <v>-0.0000198412698412698</v>
      </c>
      <c r="AG528" s="32" t="str">
        <f t="shared" si="271"/>
        <v>0.273688133097616i</v>
      </c>
      <c r="AH528" s="32">
        <f t="shared" si="285"/>
        <v>0.27368813309761603</v>
      </c>
      <c r="AI528" s="32">
        <f t="shared" si="286"/>
        <v>1.5707963267948966</v>
      </c>
      <c r="AJ528" s="32" t="str">
        <f t="shared" si="272"/>
        <v>1+94.997554274158i</v>
      </c>
      <c r="AK528" s="32">
        <f t="shared" si="287"/>
        <v>95.00281742175649</v>
      </c>
      <c r="AL528" s="32">
        <f t="shared" si="288"/>
        <v>1.5602701287916665</v>
      </c>
      <c r="AM528" s="32" t="str">
        <f t="shared" si="273"/>
        <v>1+2054.32211117867i</v>
      </c>
      <c r="AN528" s="32">
        <f t="shared" si="289"/>
        <v>2054.3223545679457</v>
      </c>
      <c r="AO528" s="32">
        <f t="shared" si="290"/>
        <v>1.5703095482534137</v>
      </c>
      <c r="AP528" s="61" t="str">
        <f t="shared" si="291"/>
        <v>-0.0000157379045893767+0.0015675583538422i</v>
      </c>
      <c r="AQ528" s="52">
        <f t="shared" si="292"/>
        <v>-56.095087930955643</v>
      </c>
      <c r="AR528" s="64">
        <f t="shared" si="293"/>
        <v>90.575216363919608</v>
      </c>
      <c r="AS528" s="61" t="str">
        <f t="shared" si="294"/>
        <v>-0.0000629789470058838+0.0000243760635007292i</v>
      </c>
      <c r="AT528" s="67">
        <f t="shared" si="295"/>
        <v>-83.409837081290718</v>
      </c>
      <c r="AU528" s="64">
        <f t="shared" si="296"/>
        <v>158.84102183429164</v>
      </c>
    </row>
    <row r="529" spans="14:47" x14ac:dyDescent="0.25">
      <c r="N529" s="11">
        <v>11</v>
      </c>
      <c r="O529" s="53">
        <f t="shared" si="298"/>
        <v>1288249.5516931366</v>
      </c>
      <c r="P529" s="51" t="str">
        <f t="shared" si="265"/>
        <v>122.692307692308</v>
      </c>
      <c r="Q529" s="18" t="str">
        <f t="shared" si="266"/>
        <v>1+8296.66842155848i</v>
      </c>
      <c r="R529" s="18">
        <f t="shared" si="274"/>
        <v>8296.6684818236336</v>
      </c>
      <c r="S529" s="18">
        <f t="shared" si="275"/>
        <v>1.5706757964875073</v>
      </c>
      <c r="T529" s="18" t="str">
        <f t="shared" si="267"/>
        <v>1+1.6593336843117i</v>
      </c>
      <c r="U529" s="18">
        <f t="shared" si="276"/>
        <v>1.937366324650927</v>
      </c>
      <c r="V529" s="18">
        <f t="shared" si="277"/>
        <v>1.0284294453642095</v>
      </c>
      <c r="W529" s="32" t="str">
        <f t="shared" si="268"/>
        <v>1-78.6017770234327i</v>
      </c>
      <c r="X529" s="18">
        <f t="shared" si="278"/>
        <v>78.608137945389799</v>
      </c>
      <c r="Y529" s="18">
        <f t="shared" si="279"/>
        <v>-1.5580746544574191</v>
      </c>
      <c r="Z529" s="32" t="str">
        <f t="shared" si="269"/>
        <v>-53.1905928959203+8.38776054839331i</v>
      </c>
      <c r="AA529" s="18">
        <f t="shared" si="280"/>
        <v>53.847875535035826</v>
      </c>
      <c r="AB529" s="18">
        <f t="shared" si="281"/>
        <v>2.9851880456887803</v>
      </c>
      <c r="AC529" s="69" t="str">
        <f t="shared" si="282"/>
        <v>0.0152457478495387+0.0389461652707869i</v>
      </c>
      <c r="AD529" s="67">
        <f t="shared" si="283"/>
        <v>-27.571514401404084</v>
      </c>
      <c r="AE529" s="64">
        <f t="shared" si="284"/>
        <v>68.621794686678484</v>
      </c>
      <c r="AF529" s="32" t="str">
        <f t="shared" si="270"/>
        <v>-0.0000198412698412698</v>
      </c>
      <c r="AG529" s="32" t="str">
        <f t="shared" si="271"/>
        <v>0.280063148669194i</v>
      </c>
      <c r="AH529" s="32">
        <f t="shared" si="285"/>
        <v>0.28006314866919402</v>
      </c>
      <c r="AI529" s="32">
        <f t="shared" si="286"/>
        <v>1.5707963267948966</v>
      </c>
      <c r="AJ529" s="32" t="str">
        <f t="shared" si="272"/>
        <v>1+97.2103315725567i</v>
      </c>
      <c r="AK529" s="32">
        <f t="shared" si="287"/>
        <v>97.215474922701546</v>
      </c>
      <c r="AL529" s="32">
        <f t="shared" si="288"/>
        <v>1.5605097172120537</v>
      </c>
      <c r="AM529" s="32" t="str">
        <f t="shared" si="273"/>
        <v>1+2102.17342025654i</v>
      </c>
      <c r="AN529" s="32">
        <f t="shared" si="289"/>
        <v>2102.1736581055998</v>
      </c>
      <c r="AO529" s="32">
        <f t="shared" si="290"/>
        <v>1.5703206286841058</v>
      </c>
      <c r="AP529" s="61" t="str">
        <f t="shared" si="291"/>
        <v>-0.0000150296571503874+0.00153188365511669i</v>
      </c>
      <c r="AQ529" s="52">
        <f t="shared" si="292"/>
        <v>-56.295066320362025</v>
      </c>
      <c r="AR529" s="64">
        <f t="shared" si="293"/>
        <v>90.562123820525088</v>
      </c>
      <c r="AS529" s="61" t="str">
        <f t="shared" si="294"/>
        <v>-0.0000598901323709715+0.0000227693644293965i</v>
      </c>
      <c r="AT529" s="67">
        <f t="shared" si="295"/>
        <v>-83.866580721766127</v>
      </c>
      <c r="AU529" s="64">
        <f t="shared" si="296"/>
        <v>159.18391850720354</v>
      </c>
    </row>
    <row r="530" spans="14:47" x14ac:dyDescent="0.25">
      <c r="N530" s="11">
        <v>12</v>
      </c>
      <c r="O530" s="53">
        <f t="shared" si="298"/>
        <v>1318256.7385564097</v>
      </c>
      <c r="P530" s="51" t="str">
        <f t="shared" si="265"/>
        <v>122.692307692308</v>
      </c>
      <c r="Q530" s="18" t="str">
        <f t="shared" si="266"/>
        <v>1+8489.92265505782i</v>
      </c>
      <c r="R530" s="18">
        <f t="shared" si="274"/>
        <v>8489.9227139511731</v>
      </c>
      <c r="S530" s="18">
        <f t="shared" si="275"/>
        <v>1.570678540092237</v>
      </c>
      <c r="T530" s="18" t="str">
        <f t="shared" si="267"/>
        <v>1+1.69798453101157i</v>
      </c>
      <c r="U530" s="18">
        <f t="shared" si="276"/>
        <v>1.9705713556110018</v>
      </c>
      <c r="V530" s="18">
        <f t="shared" si="277"/>
        <v>1.0385536874049732</v>
      </c>
      <c r="W530" s="32" t="str">
        <f t="shared" si="268"/>
        <v>1-80.4326476088931i</v>
      </c>
      <c r="X530" s="18">
        <f t="shared" si="278"/>
        <v>80.43886374990872</v>
      </c>
      <c r="Y530" s="18">
        <f t="shared" si="279"/>
        <v>-1.5583642048894599</v>
      </c>
      <c r="Z530" s="32" t="str">
        <f t="shared" si="269"/>
        <v>-55.7445168571226+8.58313659009985i</v>
      </c>
      <c r="AA530" s="18">
        <f t="shared" si="280"/>
        <v>56.40143077403566</v>
      </c>
      <c r="AB530" s="18">
        <f t="shared" si="281"/>
        <v>2.9888196579088624</v>
      </c>
      <c r="AC530" s="69" t="str">
        <f t="shared" si="282"/>
        <v>0.0145701385299713+0.0379111086586701i</v>
      </c>
      <c r="AD530" s="67">
        <f t="shared" si="283"/>
        <v>-27.82636860011894</v>
      </c>
      <c r="AE530" s="64">
        <f t="shared" si="284"/>
        <v>68.977047758660447</v>
      </c>
      <c r="AF530" s="32" t="str">
        <f t="shared" si="270"/>
        <v>-0.0000198412698412698</v>
      </c>
      <c r="AG530" s="32" t="str">
        <f t="shared" si="271"/>
        <v>0.286586657429269i</v>
      </c>
      <c r="AH530" s="32">
        <f t="shared" si="285"/>
        <v>0.28658665742926898</v>
      </c>
      <c r="AI530" s="32">
        <f t="shared" si="286"/>
        <v>1.5707963267948966</v>
      </c>
      <c r="AJ530" s="32" t="str">
        <f t="shared" si="272"/>
        <v>1+99.4746510754859i</v>
      </c>
      <c r="AK530" s="32">
        <f t="shared" si="287"/>
        <v>99.479677354672134</v>
      </c>
      <c r="AL530" s="32">
        <f t="shared" si="288"/>
        <v>1.5607438530753528</v>
      </c>
      <c r="AM530" s="32" t="str">
        <f t="shared" si="273"/>
        <v>1+2151.13932950738i</v>
      </c>
      <c r="AN530" s="32">
        <f t="shared" si="289"/>
        <v>2151.1395619423351</v>
      </c>
      <c r="AO530" s="32">
        <f t="shared" si="290"/>
        <v>1.5703314568935154</v>
      </c>
      <c r="AP530" s="61" t="str">
        <f t="shared" si="291"/>
        <v>-0.000014353279503137+0.00149702052545142i</v>
      </c>
      <c r="AQ530" s="52">
        <f t="shared" si="292"/>
        <v>-56.49504568230455</v>
      </c>
      <c r="AR530" s="64">
        <f t="shared" si="293"/>
        <v>90.549329234424235</v>
      </c>
      <c r="AS530" s="61" t="str">
        <f t="shared" si="294"/>
        <v>-0.0000569628370753683+0.0000212676476991859i</v>
      </c>
      <c r="AT530" s="67">
        <f t="shared" si="295"/>
        <v>-84.32141428242349</v>
      </c>
      <c r="AU530" s="64">
        <f t="shared" si="296"/>
        <v>159.52637699308468</v>
      </c>
    </row>
    <row r="531" spans="14:47" x14ac:dyDescent="0.25">
      <c r="N531" s="11">
        <v>13</v>
      </c>
      <c r="O531" s="53">
        <f t="shared" si="298"/>
        <v>1348962.8825916562</v>
      </c>
      <c r="P531" s="51" t="str">
        <f t="shared" ref="P531:P560" si="299">COMPLEX(Adc,0)</f>
        <v>122.692307692308</v>
      </c>
      <c r="Q531" s="18" t="str">
        <f t="shared" ref="Q531:Q560" si="300">IMSUM(COMPLEX(1,0),IMDIV(COMPLEX(0,2*PI()*O531),COMPLEX(wp_lf,0)))</f>
        <v>1+8687.67835792627i</v>
      </c>
      <c r="R531" s="18">
        <f t="shared" si="274"/>
        <v>8687.6784154790439</v>
      </c>
      <c r="S531" s="18">
        <f t="shared" si="275"/>
        <v>1.5706812212448999</v>
      </c>
      <c r="T531" s="18" t="str">
        <f t="shared" ref="T531:T560" si="301">IMSUM(COMPLEX(1,0),IMDIV(COMPLEX(0,2*PI()*O531),COMPLEX(wz_esr,0)))</f>
        <v>1+1.73753567158526i</v>
      </c>
      <c r="U531" s="18">
        <f t="shared" si="276"/>
        <v>2.0047519073519395</v>
      </c>
      <c r="V531" s="18">
        <f t="shared" si="277"/>
        <v>1.0485655174040209</v>
      </c>
      <c r="W531" s="32" t="str">
        <f t="shared" ref="W531:W560" si="302">IMSUB(COMPLEX(1,0),IMDIV(COMPLEX(0,2*PI()*O531),COMPLEX(wz_rhp,0)))</f>
        <v>1-82.3061646487676i</v>
      </c>
      <c r="X531" s="18">
        <f t="shared" si="278"/>
        <v>82.312239303702839</v>
      </c>
      <c r="Y531" s="18">
        <f t="shared" si="279"/>
        <v>-1.5586471663634356</v>
      </c>
      <c r="Z531" s="32" t="str">
        <f t="shared" ref="Z531:Z560" si="303">IMSUM(COMPLEX(1,0),IMDIV(COMPLEX(0,2*PI()*O531),COMPLEX(Q*(wsl/2),0)),IMDIV(IMPOWER(COMPLEX(0,2*PI()*O531),2),IMPOWER(COMPLEX(wsl/2,0),2)))</f>
        <v>-58.4188035464484+8.7830635244377i</v>
      </c>
      <c r="AA531" s="18">
        <f t="shared" si="280"/>
        <v>59.075365531436539</v>
      </c>
      <c r="AB531" s="18">
        <f t="shared" si="281"/>
        <v>2.9923638332310896</v>
      </c>
      <c r="AC531" s="69" t="str">
        <f t="shared" si="282"/>
        <v>0.0139239785932791+0.0369096116848298i</v>
      </c>
      <c r="AD531" s="67">
        <f t="shared" si="283"/>
        <v>-28.079355338003239</v>
      </c>
      <c r="AE531" s="64">
        <f t="shared" si="284"/>
        <v>69.331250958034886</v>
      </c>
      <c r="AF531" s="32" t="str">
        <f t="shared" ref="AF531:AF560" si="304">COMPLEX(Adc_ea,0)</f>
        <v>-0.0000198412698412698</v>
      </c>
      <c r="AG531" s="32" t="str">
        <f t="shared" ref="AG531:AG560" si="305">COMPLEX(0,2*PI()*O531*wp0_ea)</f>
        <v>0.293262118228536i</v>
      </c>
      <c r="AH531" s="32">
        <f t="shared" si="285"/>
        <v>0.29326211822853598</v>
      </c>
      <c r="AI531" s="32">
        <f t="shared" si="286"/>
        <v>1.5707963267948966</v>
      </c>
      <c r="AJ531" s="32" t="str">
        <f t="shared" ref="AJ531:AJ560" si="306">IMSUM(COMPLEX(1,0),IMDIV(COMPLEX(0,2*PI()*O531),COMPLEX(wp1_ea,0)))</f>
        <v>1+101.791713355118i</v>
      </c>
      <c r="AK531" s="32">
        <f t="shared" si="287"/>
        <v>101.79662522780659</v>
      </c>
      <c r="AL531" s="32">
        <f t="shared" si="288"/>
        <v>1.5609726604207574</v>
      </c>
      <c r="AM531" s="32" t="str">
        <f t="shared" ref="AM531:AM560" si="307">IMSUM(COMPLEX(1,0),IMDIV(COMPLEX(0,2*PI()*O531),COMPLEX(wz_ea,0)))</f>
        <v>1+2201.24580130442i</v>
      </c>
      <c r="AN531" s="32">
        <f t="shared" si="289"/>
        <v>2201.2460284485101</v>
      </c>
      <c r="AO531" s="32">
        <f t="shared" si="290"/>
        <v>1.5703420386228919</v>
      </c>
      <c r="AP531" s="61" t="str">
        <f t="shared" si="291"/>
        <v>-0.0000137073378508251+0.00146295052372537i</v>
      </c>
      <c r="AQ531" s="52">
        <f t="shared" si="292"/>
        <v>-56.695025973020734</v>
      </c>
      <c r="AR531" s="64">
        <f t="shared" si="293"/>
        <v>90.536825827644194</v>
      </c>
      <c r="AS531" s="61" t="str">
        <f t="shared" si="294"/>
        <v>-0.0000541877964236275+0.0000198641592580718i</v>
      </c>
      <c r="AT531" s="67">
        <f t="shared" si="295"/>
        <v>-84.774381311023973</v>
      </c>
      <c r="AU531" s="64">
        <f t="shared" si="296"/>
        <v>159.86807678567905</v>
      </c>
    </row>
    <row r="532" spans="14:47" x14ac:dyDescent="0.25">
      <c r="N532" s="11">
        <v>14</v>
      </c>
      <c r="O532" s="53">
        <f t="shared" si="298"/>
        <v>1380384.2646028849</v>
      </c>
      <c r="P532" s="51" t="str">
        <f t="shared" si="299"/>
        <v>122.692307692308</v>
      </c>
      <c r="Q532" s="18" t="str">
        <f t="shared" si="300"/>
        <v>1+8890.04038285511i</v>
      </c>
      <c r="R532" s="18">
        <f t="shared" ref="R532:R560" si="308">IMABS(Q532)</f>
        <v>8890.0404390978238</v>
      </c>
      <c r="S532" s="18">
        <f t="shared" ref="S532:S560" si="309">IMARGUMENT(Q532)</f>
        <v>1.5706838413670789</v>
      </c>
      <c r="T532" s="18" t="str">
        <f t="shared" si="301"/>
        <v>1+1.77800807657102i</v>
      </c>
      <c r="U532" s="18">
        <f t="shared" ref="U532:U560" si="310">IMABS(T532)</f>
        <v>2.0399295871063239</v>
      </c>
      <c r="V532" s="18">
        <f t="shared" ref="V532:V560" si="311">IMARGUMENT(T532)</f>
        <v>1.0584622147533502</v>
      </c>
      <c r="W532" s="32" t="str">
        <f t="shared" si="302"/>
        <v>1-84.2233215065897i</v>
      </c>
      <c r="X532" s="18">
        <f t="shared" ref="X532:X560" si="312">IMABS(W532)</f>
        <v>84.2292578953559</v>
      </c>
      <c r="Y532" s="18">
        <f t="shared" ref="Y532:Y560" si="313">IMARGUMENT(W532)</f>
        <v>-1.5589236887279136</v>
      </c>
      <c r="Z532" s="32" t="str">
        <f t="shared" si="303"/>
        <v>-61.219125484514+8.98764735531378i</v>
      </c>
      <c r="AA532" s="18">
        <f t="shared" ref="AA532:AA560" si="314">IMABS(Z532)</f>
        <v>61.875351555139872</v>
      </c>
      <c r="AB532" s="18">
        <f t="shared" ref="AB532:AB560" si="315">IMARGUMENT(Z532)</f>
        <v>2.9958228808858469</v>
      </c>
      <c r="AC532" s="69" t="str">
        <f t="shared" ref="AC532:AC560" si="316">(IMDIV(IMPRODUCT(P532,T532,W532),IMPRODUCT(Q532,Z532)))</f>
        <v>0.0133060306036308+0.0359402341862302i</v>
      </c>
      <c r="AD532" s="67">
        <f t="shared" ref="AD532:AD560" si="317">20*LOG(IMABS(AC532))</f>
        <v>-28.33051859057759</v>
      </c>
      <c r="AE532" s="64">
        <f t="shared" ref="AE532:AE560" si="318">(180/PI())*IMARGUMENT(AC532)</f>
        <v>69.684107429149336</v>
      </c>
      <c r="AF532" s="32" t="str">
        <f t="shared" si="304"/>
        <v>-0.0000198412698412698</v>
      </c>
      <c r="AG532" s="32" t="str">
        <f t="shared" si="305"/>
        <v>0.30009307048467i</v>
      </c>
      <c r="AH532" s="32">
        <f t="shared" ref="AH532:AH560" si="319">IMABS(AG532)</f>
        <v>0.30009307048466999</v>
      </c>
      <c r="AI532" s="32">
        <f t="shared" ref="AI532:AI560" si="320">IMARGUMENT(AG532)</f>
        <v>1.5707963267948966</v>
      </c>
      <c r="AJ532" s="32" t="str">
        <f t="shared" si="306"/>
        <v>1+104.162746948543i</v>
      </c>
      <c r="AK532" s="32">
        <f t="shared" ref="AK532:AK560" si="321">IMABS(AJ532)</f>
        <v>104.16754701857104</v>
      </c>
      <c r="AL532" s="32">
        <f t="shared" ref="AL532:AL560" si="322">IMARGUMENT(AJ532)</f>
        <v>1.5611962604690657</v>
      </c>
      <c r="AM532" s="32" t="str">
        <f t="shared" si="307"/>
        <v>1+2252.51940276224i</v>
      </c>
      <c r="AN532" s="32">
        <f t="shared" ref="AN532:AN560" si="323">IMABS(AM532)</f>
        <v>2252.5196247358999</v>
      </c>
      <c r="AO532" s="32">
        <f t="shared" ref="AO532:AO560" si="324">IMARGUMENT(AM532)</f>
        <v>1.5703523794827992</v>
      </c>
      <c r="AP532" s="61" t="str">
        <f t="shared" ref="AP532:AP560" si="325">IMPRODUCT(AF532,IMDIV(AM532,IMPRODUCT(AG532,AJ532)))</f>
        <v>-0.0000130904628771054+0.00142965562642383i</v>
      </c>
      <c r="AQ532" s="52">
        <f t="shared" ref="AQ532:AQ560" si="326">20*LOG(IMABS(AP532))</f>
        <v>-56.895007150716907</v>
      </c>
      <c r="AR532" s="64">
        <f t="shared" ref="AR532:AR560" si="327">(180/PI())*IMARGUMENT(AP532)</f>
        <v>90.524606976206414</v>
      </c>
      <c r="AS532" s="61" t="str">
        <f t="shared" ref="AS532:AS560" si="328">IMPRODUCT(AC532,AP532)</f>
        <v>-0.0000515563401189925+0.0000185525672164391i</v>
      </c>
      <c r="AT532" s="67">
        <f t="shared" ref="AT532:AT560" si="329">20*LOG(IMABS(AS532))</f>
        <v>-85.225525741294504</v>
      </c>
      <c r="AU532" s="64">
        <f t="shared" ref="AU532:AU560" si="330">(180/PI())*IMARGUMENT(AS532)</f>
        <v>160.20871440535575</v>
      </c>
    </row>
    <row r="533" spans="14:47" x14ac:dyDescent="0.25">
      <c r="N533" s="11">
        <v>15</v>
      </c>
      <c r="O533" s="53">
        <f t="shared" si="298"/>
        <v>1412537.5446227565</v>
      </c>
      <c r="P533" s="51" t="str">
        <f t="shared" si="299"/>
        <v>122.692307692308</v>
      </c>
      <c r="Q533" s="18" t="str">
        <f t="shared" si="300"/>
        <v>1+9097.11602486856i</v>
      </c>
      <c r="R533" s="18">
        <f t="shared" si="308"/>
        <v>9097.116079831032</v>
      </c>
      <c r="S533" s="18">
        <f t="shared" si="309"/>
        <v>1.5706864018479971</v>
      </c>
      <c r="T533" s="18" t="str">
        <f t="shared" si="301"/>
        <v>1+1.81942320497371i</v>
      </c>
      <c r="U533" s="18">
        <f t="shared" si="310"/>
        <v>2.0761263927797859</v>
      </c>
      <c r="V533" s="18">
        <f t="shared" si="311"/>
        <v>1.0682412715309162</v>
      </c>
      <c r="W533" s="32" t="str">
        <f t="shared" si="302"/>
        <v>1-86.1851346843023i</v>
      </c>
      <c r="X533" s="18">
        <f t="shared" si="312"/>
        <v>86.190935953563738</v>
      </c>
      <c r="Y533" s="18">
        <f t="shared" si="313"/>
        <v>-1.559193918429461</v>
      </c>
      <c r="Z533" s="32" t="str">
        <f t="shared" si="303"/>
        <v>-64.151422529596+9.19699655578326i</v>
      </c>
      <c r="AA533" s="18">
        <f t="shared" si="314"/>
        <v>64.807327966965644</v>
      </c>
      <c r="AB533" s="18">
        <f t="shared" si="315"/>
        <v>2.9991990362164951</v>
      </c>
      <c r="AC533" s="69" t="str">
        <f t="shared" si="316"/>
        <v>0.0127151045960608+0.0350016148286711i</v>
      </c>
      <c r="AD533" s="67">
        <f t="shared" si="317"/>
        <v>-28.579902614838318</v>
      </c>
      <c r="AE533" s="64">
        <f t="shared" si="318"/>
        <v>70.035336932547978</v>
      </c>
      <c r="AF533" s="32" t="str">
        <f t="shared" si="304"/>
        <v>-0.0000198412698412698</v>
      </c>
      <c r="AG533" s="32" t="str">
        <f t="shared" si="305"/>
        <v>0.307083136058978i</v>
      </c>
      <c r="AH533" s="32">
        <f t="shared" si="319"/>
        <v>0.30708313605897802</v>
      </c>
      <c r="AI533" s="32">
        <f t="shared" si="320"/>
        <v>1.5707963267948966</v>
      </c>
      <c r="AJ533" s="32" t="str">
        <f t="shared" si="306"/>
        <v>1+106.589009009158i</v>
      </c>
      <c r="AK533" s="32">
        <f t="shared" si="321"/>
        <v>106.59369982111684</v>
      </c>
      <c r="AL533" s="32">
        <f t="shared" si="322"/>
        <v>1.5614147716864972</v>
      </c>
      <c r="AM533" s="32" t="str">
        <f t="shared" si="307"/>
        <v>1+2304.98731982304i</v>
      </c>
      <c r="AN533" s="32">
        <f t="shared" si="323"/>
        <v>2304.9875367439631</v>
      </c>
      <c r="AO533" s="32">
        <f t="shared" si="324"/>
        <v>1.5703624849560889</v>
      </c>
      <c r="AP533" s="61" t="str">
        <f t="shared" si="325"/>
        <v>-0.0000125013468484755+0.0013971182182769i</v>
      </c>
      <c r="AQ533" s="52">
        <f t="shared" si="326"/>
        <v>-57.094989175479853</v>
      </c>
      <c r="AR533" s="64">
        <f t="shared" si="327"/>
        <v>90.512666206640802</v>
      </c>
      <c r="AS533" s="61" t="str">
        <f t="shared" si="328"/>
        <v>-0.0000490603496790173+0.0000173269369512229i</v>
      </c>
      <c r="AT533" s="67">
        <f t="shared" si="329"/>
        <v>-85.674891790318171</v>
      </c>
      <c r="AU533" s="64">
        <f t="shared" si="330"/>
        <v>160.54800313918881</v>
      </c>
    </row>
    <row r="534" spans="14:47" x14ac:dyDescent="0.25">
      <c r="N534" s="11">
        <v>16</v>
      </c>
      <c r="O534" s="53">
        <f t="shared" si="298"/>
        <v>1445439.7707459298</v>
      </c>
      <c r="P534" s="51" t="str">
        <f t="shared" si="299"/>
        <v>122.692307692308</v>
      </c>
      <c r="Q534" s="18" t="str">
        <f t="shared" si="300"/>
        <v>1+9309.01507821296i</v>
      </c>
      <c r="R534" s="18">
        <f t="shared" si="308"/>
        <v>9309.0151319243341</v>
      </c>
      <c r="S534" s="18">
        <f t="shared" si="309"/>
        <v>1.5706889040452554</v>
      </c>
      <c r="T534" s="18" t="str">
        <f t="shared" si="301"/>
        <v>1+1.86180301564259i</v>
      </c>
      <c r="U534" s="18">
        <f t="shared" si="310"/>
        <v>2.1133647269356612</v>
      </c>
      <c r="V534" s="18">
        <f t="shared" si="311"/>
        <v>1.0779003906367923</v>
      </c>
      <c r="W534" s="32" t="str">
        <f t="shared" si="302"/>
        <v>1-88.1926443612196i</v>
      </c>
      <c r="X534" s="18">
        <f t="shared" si="312"/>
        <v>88.198313586057637</v>
      </c>
      <c r="Y534" s="18">
        <f t="shared" si="313"/>
        <v>-1.5594579985894861</v>
      </c>
      <c r="Z534" s="32" t="str">
        <f t="shared" si="303"/>
        <v>-67.2219144768667+9.41122212556325i</v>
      </c>
      <c r="AA534" s="18">
        <f t="shared" si="314"/>
        <v>67.877513860128033</v>
      </c>
      <c r="AB534" s="18">
        <f t="shared" si="315"/>
        <v>3.0024944637861797</v>
      </c>
      <c r="AC534" s="69" t="str">
        <f t="shared" si="316"/>
        <v>0.0121500567254798+0.0340924661484453i</v>
      </c>
      <c r="AD534" s="67">
        <f t="shared" si="317"/>
        <v>-28.827551850092988</v>
      </c>
      <c r="AE534" s="64">
        <f t="shared" si="318"/>
        <v>70.384675555729757</v>
      </c>
      <c r="AF534" s="32" t="str">
        <f t="shared" si="304"/>
        <v>-0.0000198412698412698</v>
      </c>
      <c r="AG534" s="32" t="str">
        <f t="shared" si="305"/>
        <v>0.314236021176749i</v>
      </c>
      <c r="AH534" s="32">
        <f t="shared" si="319"/>
        <v>0.31423602117674898</v>
      </c>
      <c r="AI534" s="32">
        <f t="shared" si="320"/>
        <v>1.5707963267948966</v>
      </c>
      <c r="AJ534" s="32" t="str">
        <f t="shared" si="306"/>
        <v>1+109.071785973221i</v>
      </c>
      <c r="AK534" s="32">
        <f t="shared" si="321"/>
        <v>109.07637001380328</v>
      </c>
      <c r="AL534" s="32">
        <f t="shared" si="322"/>
        <v>1.5616283098470773</v>
      </c>
      <c r="AM534" s="32" t="str">
        <f t="shared" si="307"/>
        <v>1+2358.67737167091i</v>
      </c>
      <c r="AN534" s="32">
        <f t="shared" si="323"/>
        <v>2358.6775836541101</v>
      </c>
      <c r="AO534" s="32">
        <f t="shared" si="324"/>
        <v>1.5703723604008086</v>
      </c>
      <c r="AP534" s="61" t="str">
        <f t="shared" si="325"/>
        <v>-0.0000119387408466871+0.00136532108310154i</v>
      </c>
      <c r="AQ534" s="52">
        <f t="shared" si="326"/>
        <v>-57.294972009191916</v>
      </c>
      <c r="AR534" s="64">
        <f t="shared" si="327"/>
        <v>90.500997192577827</v>
      </c>
      <c r="AS534" s="61" t="str">
        <f t="shared" si="328"/>
        <v>-0.000046692219185916+0.0000161817074900065i</v>
      </c>
      <c r="AT534" s="67">
        <f t="shared" si="329"/>
        <v>-86.122523859284911</v>
      </c>
      <c r="AU534" s="64">
        <f t="shared" si="330"/>
        <v>160.88567274830757</v>
      </c>
    </row>
    <row r="535" spans="14:47" x14ac:dyDescent="0.25">
      <c r="N535" s="11">
        <v>17</v>
      </c>
      <c r="O535" s="53">
        <f t="shared" si="298"/>
        <v>1479108.3881682095</v>
      </c>
      <c r="P535" s="51" t="str">
        <f t="shared" si="299"/>
        <v>122.692307692308</v>
      </c>
      <c r="Q535" s="18" t="str">
        <f t="shared" si="300"/>
        <v>1+9525.84989457118i</v>
      </c>
      <c r="R535" s="18">
        <f t="shared" si="308"/>
        <v>9525.8499470599345</v>
      </c>
      <c r="S535" s="18">
        <f t="shared" si="309"/>
        <v>1.5706913492855517</v>
      </c>
      <c r="T535" s="18" t="str">
        <f t="shared" si="301"/>
        <v>1+1.90516997891424i</v>
      </c>
      <c r="U535" s="18">
        <f t="shared" si="310"/>
        <v>2.1516674112315979</v>
      </c>
      <c r="V535" s="18">
        <f t="shared" si="311"/>
        <v>1.0874374832295164</v>
      </c>
      <c r="W535" s="32" t="str">
        <f t="shared" si="302"/>
        <v>1-90.2469149455447i</v>
      </c>
      <c r="X535" s="18">
        <f t="shared" si="312"/>
        <v>90.252455131084261</v>
      </c>
      <c r="Y535" s="18">
        <f t="shared" si="313"/>
        <v>-1.5597160690793681</v>
      </c>
      <c r="Z535" s="32" t="str">
        <f t="shared" si="303"/>
        <v>-70.4371142514139+9.63043764988645i</v>
      </c>
      <c r="AA535" s="18">
        <f t="shared" si="314"/>
        <v>71.09242149058565</v>
      </c>
      <c r="AB535" s="18">
        <f t="shared" si="315"/>
        <v>3.0057112603189471</v>
      </c>
      <c r="AC535" s="69" t="str">
        <f t="shared" si="316"/>
        <v>0.011609787899347+0.0332115699266088i</v>
      </c>
      <c r="AD535" s="67">
        <f t="shared" si="317"/>
        <v>-29.073510822508979</v>
      </c>
      <c r="AE535" s="64">
        <f t="shared" si="318"/>
        <v>70.731875393402703</v>
      </c>
      <c r="AF535" s="32" t="str">
        <f t="shared" si="304"/>
        <v>-0.0000198412698412698</v>
      </c>
      <c r="AG535" s="32" t="str">
        <f t="shared" si="305"/>
        <v>0.321555518392354i</v>
      </c>
      <c r="AH535" s="32">
        <f t="shared" si="319"/>
        <v>0.32155551839235402</v>
      </c>
      <c r="AI535" s="32">
        <f t="shared" si="320"/>
        <v>1.5707963267948966</v>
      </c>
      <c r="AJ535" s="32" t="str">
        <f t="shared" si="306"/>
        <v>1+111.612394241944i</v>
      </c>
      <c r="AK535" s="32">
        <f t="shared" si="321"/>
        <v>111.61687394126005</v>
      </c>
      <c r="AL535" s="32">
        <f t="shared" si="322"/>
        <v>1.5618369880936245</v>
      </c>
      <c r="AM535" s="32" t="str">
        <f t="shared" si="307"/>
        <v>1+2413.61802548203i</v>
      </c>
      <c r="AN535" s="32">
        <f t="shared" si="323"/>
        <v>2413.6182326399039</v>
      </c>
      <c r="AO535" s="32">
        <f t="shared" si="324"/>
        <v>1.5703820110530422</v>
      </c>
      <c r="AP535" s="61" t="str">
        <f t="shared" si="325"/>
        <v>-0.0000114014521253567+0.00133424739484295i</v>
      </c>
      <c r="AQ535" s="52">
        <f t="shared" si="326"/>
        <v>-57.494955615450749</v>
      </c>
      <c r="AR535" s="64">
        <f t="shared" si="327"/>
        <v>90.489593751417019</v>
      </c>
      <c r="AS535" s="61" t="str">
        <f t="shared" si="328"/>
        <v>-0.0000444448190941422+0.0000151116691348568i</v>
      </c>
      <c r="AT535" s="67">
        <f t="shared" si="329"/>
        <v>-86.568466437959728</v>
      </c>
      <c r="AU535" s="64">
        <f t="shared" si="330"/>
        <v>161.22146914481968</v>
      </c>
    </row>
    <row r="536" spans="14:47" x14ac:dyDescent="0.25">
      <c r="N536" s="11">
        <v>18</v>
      </c>
      <c r="O536" s="53">
        <f t="shared" si="298"/>
        <v>1513561.2484362102</v>
      </c>
      <c r="P536" s="51" t="str">
        <f t="shared" si="299"/>
        <v>122.692307692308</v>
      </c>
      <c r="Q536" s="18" t="str">
        <f t="shared" si="300"/>
        <v>1+9747.73544263306i</v>
      </c>
      <c r="R536" s="18">
        <f t="shared" si="308"/>
        <v>9747.7354939270244</v>
      </c>
      <c r="S536" s="18">
        <f t="shared" si="309"/>
        <v>1.5706937388653845</v>
      </c>
      <c r="T536" s="18" t="str">
        <f t="shared" si="301"/>
        <v>1+1.94954708852661i</v>
      </c>
      <c r="U536" s="18">
        <f t="shared" si="310"/>
        <v>2.1910577012900827</v>
      </c>
      <c r="V536" s="18">
        <f t="shared" si="311"/>
        <v>1.096850665515636</v>
      </c>
      <c r="W536" s="32" t="str">
        <f t="shared" si="302"/>
        <v>1-92.3490356387332i</v>
      </c>
      <c r="X536" s="18">
        <f t="shared" si="312"/>
        <v>92.354449721732493</v>
      </c>
      <c r="Y536" s="18">
        <f t="shared" si="313"/>
        <v>-1.5599682665939172</v>
      </c>
      <c r="Z536" s="32" t="str">
        <f t="shared" si="303"/>
        <v>-73.8038417230293+9.85475935972554i</v>
      </c>
      <c r="AA536" s="18">
        <f t="shared" si="314"/>
        <v>74.458870090245512</v>
      </c>
      <c r="AB536" s="18">
        <f t="shared" si="315"/>
        <v>3.0088514574852128</v>
      </c>
      <c r="AC536" s="69" t="str">
        <f t="shared" si="316"/>
        <v>0.0110932424025639+0.0323577728728844i</v>
      </c>
      <c r="AD536" s="67">
        <f t="shared" si="317"/>
        <v>-29.317824053686973</v>
      </c>
      <c r="AE536" s="64">
        <f t="shared" si="318"/>
        <v>71.07670419969206</v>
      </c>
      <c r="AF536" s="32" t="str">
        <f t="shared" si="304"/>
        <v>-0.0000198412698412698</v>
      </c>
      <c r="AG536" s="32" t="str">
        <f t="shared" si="305"/>
        <v>0.329045508600101i</v>
      </c>
      <c r="AH536" s="32">
        <f t="shared" si="319"/>
        <v>0.32904550860010101</v>
      </c>
      <c r="AI536" s="32">
        <f t="shared" si="320"/>
        <v>1.5707963267948966</v>
      </c>
      <c r="AJ536" s="32" t="str">
        <f t="shared" si="306"/>
        <v>1+114.212180879458i</v>
      </c>
      <c r="AK536" s="32">
        <f t="shared" si="321"/>
        <v>114.21655861232219</v>
      </c>
      <c r="AL536" s="32">
        <f t="shared" si="322"/>
        <v>1.5620409169973675</v>
      </c>
      <c r="AM536" s="32" t="str">
        <f t="shared" si="307"/>
        <v>1+2469.83841151828i</v>
      </c>
      <c r="AN536" s="32">
        <f t="shared" si="323"/>
        <v>2469.838613960665</v>
      </c>
      <c r="AO536" s="32">
        <f t="shared" si="324"/>
        <v>1.5703914420296858</v>
      </c>
      <c r="AP536" s="61" t="str">
        <f t="shared" si="325"/>
        <v>-0.0000108883415852219+0.00130388070881171i</v>
      </c>
      <c r="AQ536" s="52">
        <f t="shared" si="326"/>
        <v>-57.694939959491329</v>
      </c>
      <c r="AR536" s="64">
        <f t="shared" si="327"/>
        <v>90.478449841070187</v>
      </c>
      <c r="AS536" s="61" t="str">
        <f t="shared" si="328"/>
        <v>-0.0000423114628416316+0.0000141119422828981i</v>
      </c>
      <c r="AT536" s="67">
        <f t="shared" si="329"/>
        <v>-87.012764013178298</v>
      </c>
      <c r="AU536" s="64">
        <f t="shared" si="330"/>
        <v>161.55515404076226</v>
      </c>
    </row>
    <row r="537" spans="14:47" x14ac:dyDescent="0.25">
      <c r="N537" s="11">
        <v>19</v>
      </c>
      <c r="O537" s="53">
        <f t="shared" si="298"/>
        <v>1548816.6189124861</v>
      </c>
      <c r="P537" s="51" t="str">
        <f t="shared" si="299"/>
        <v>122.692307692308</v>
      </c>
      <c r="Q537" s="18" t="str">
        <f t="shared" si="300"/>
        <v>1+9974.78936905316i</v>
      </c>
      <c r="R537" s="18">
        <f t="shared" si="308"/>
        <v>9974.7894191795313</v>
      </c>
      <c r="S537" s="18">
        <f t="shared" si="309"/>
        <v>1.5706960740517408</v>
      </c>
      <c r="T537" s="18" t="str">
        <f t="shared" si="301"/>
        <v>1+1.99495787381063i</v>
      </c>
      <c r="U537" s="18">
        <f t="shared" si="310"/>
        <v>2.2315593019857278</v>
      </c>
      <c r="V537" s="18">
        <f t="shared" si="311"/>
        <v>1.1061382549469552</v>
      </c>
      <c r="W537" s="32" t="str">
        <f t="shared" si="302"/>
        <v>1-94.5001210130014i</v>
      </c>
      <c r="X537" s="18">
        <f t="shared" si="312"/>
        <v>94.505411863405513</v>
      </c>
      <c r="Y537" s="18">
        <f t="shared" si="313"/>
        <v>-1.5602147247231948</v>
      </c>
      <c r="Z537" s="32" t="str">
        <f t="shared" si="303"/>
        <v>-77.3292381720653+10.0843061934203i</v>
      </c>
      <c r="AA537" s="18">
        <f t="shared" si="314"/>
        <v>77.984000331315755</v>
      </c>
      <c r="AB537" s="18">
        <f t="shared" si="315"/>
        <v>3.0119170245409932</v>
      </c>
      <c r="AC537" s="69" t="str">
        <f t="shared" si="316"/>
        <v>0.0105994065219414+0.0315299825978382i</v>
      </c>
      <c r="AD537" s="67">
        <f t="shared" si="317"/>
        <v>-29.560535973518608</v>
      </c>
      <c r="AE537" s="64">
        <f t="shared" si="318"/>
        <v>71.418945014889502</v>
      </c>
      <c r="AF537" s="32" t="str">
        <f t="shared" si="304"/>
        <v>-0.0000198412698412698</v>
      </c>
      <c r="AG537" s="32" t="str">
        <f t="shared" si="305"/>
        <v>0.336709963091941i</v>
      </c>
      <c r="AH537" s="32">
        <f t="shared" si="319"/>
        <v>0.33670996309194101</v>
      </c>
      <c r="AI537" s="32">
        <f t="shared" si="320"/>
        <v>1.5707963267948966</v>
      </c>
      <c r="AJ537" s="32" t="str">
        <f t="shared" si="306"/>
        <v>1+116.872524327051i</v>
      </c>
      <c r="AK537" s="32">
        <f t="shared" si="321"/>
        <v>116.87680241423926</v>
      </c>
      <c r="AL537" s="32">
        <f t="shared" si="322"/>
        <v>1.5622402046162251</v>
      </c>
      <c r="AM537" s="32" t="str">
        <f t="shared" si="307"/>
        <v>1+2527.36833857249i</v>
      </c>
      <c r="AN537" s="32">
        <f t="shared" si="323"/>
        <v>2527.3685364067242</v>
      </c>
      <c r="AO537" s="32">
        <f t="shared" si="324"/>
        <v>1.5704006583311616</v>
      </c>
      <c r="AP537" s="61" t="str">
        <f t="shared" si="325"/>
        <v>-0.0000103983213627283+0.00127420495311226i</v>
      </c>
      <c r="AQ537" s="52">
        <f t="shared" si="326"/>
        <v>-57.894925008113262</v>
      </c>
      <c r="AR537" s="64">
        <f t="shared" si="327"/>
        <v>90.467559556777701</v>
      </c>
      <c r="AS537" s="61" t="str">
        <f t="shared" si="328"/>
        <v>-0.0000402858760329781+0.0000131779573986946i</v>
      </c>
      <c r="AT537" s="67">
        <f t="shared" si="329"/>
        <v>-87.455460981631873</v>
      </c>
      <c r="AU537" s="64">
        <f t="shared" si="330"/>
        <v>161.88650457166716</v>
      </c>
    </row>
    <row r="538" spans="14:47" x14ac:dyDescent="0.25">
      <c r="N538" s="11">
        <v>20</v>
      </c>
      <c r="O538" s="53">
        <f t="shared" si="298"/>
        <v>1584893.1924611153</v>
      </c>
      <c r="P538" s="51" t="str">
        <f t="shared" si="299"/>
        <v>122.692307692308</v>
      </c>
      <c r="Q538" s="18" t="str">
        <f t="shared" si="300"/>
        <v>1+10207.1320608286i</v>
      </c>
      <c r="R538" s="18">
        <f t="shared" si="308"/>
        <v>10207.132109813956</v>
      </c>
      <c r="S538" s="18">
        <f t="shared" si="309"/>
        <v>1.570698356082767</v>
      </c>
      <c r="T538" s="18" t="str">
        <f t="shared" si="301"/>
        <v>1+2.04142641216573i</v>
      </c>
      <c r="U538" s="18">
        <f t="shared" si="310"/>
        <v>2.2731963831327562</v>
      </c>
      <c r="V538" s="18">
        <f t="shared" si="311"/>
        <v>1.1152987658807192</v>
      </c>
      <c r="W538" s="32" t="str">
        <f t="shared" si="302"/>
        <v>1-96.7013116022874i</v>
      </c>
      <c r="X538" s="18">
        <f t="shared" si="312"/>
        <v>96.706482024746848</v>
      </c>
      <c r="Y538" s="18">
        <f t="shared" si="313"/>
        <v>-1.5604555740227324</v>
      </c>
      <c r="Z538" s="32" t="str">
        <f t="shared" si="303"/>
        <v>-81.0207814370474+10.3191998597404i</v>
      </c>
      <c r="AA538" s="18">
        <f t="shared" si="314"/>
        <v>81.675289472490221</v>
      </c>
      <c r="AB538" s="18">
        <f t="shared" si="315"/>
        <v>3.0149098708297246</v>
      </c>
      <c r="AC538" s="69" t="str">
        <f t="shared" si="316"/>
        <v>0.0101273071765321+0.03072716385344i</v>
      </c>
      <c r="AD538" s="67">
        <f t="shared" si="317"/>
        <v>-29.801690837543596</v>
      </c>
      <c r="AE538" s="64">
        <f t="shared" si="318"/>
        <v>71.758395769393147</v>
      </c>
      <c r="AF538" s="32" t="str">
        <f t="shared" si="304"/>
        <v>-0.0000198412698412698</v>
      </c>
      <c r="AG538" s="32" t="str">
        <f t="shared" si="305"/>
        <v>0.344552945663094i</v>
      </c>
      <c r="AH538" s="32">
        <f t="shared" si="319"/>
        <v>0.34455294566309402</v>
      </c>
      <c r="AI538" s="32">
        <f t="shared" si="320"/>
        <v>1.5707963267948966</v>
      </c>
      <c r="AJ538" s="32" t="str">
        <f t="shared" si="306"/>
        <v>1+119.594835134033i</v>
      </c>
      <c r="AK538" s="32">
        <f t="shared" si="321"/>
        <v>119.59901584351158</v>
      </c>
      <c r="AL538" s="32">
        <f t="shared" si="322"/>
        <v>1.5624349565517761</v>
      </c>
      <c r="AM538" s="32" t="str">
        <f t="shared" si="307"/>
        <v>1+2586.23830977347i</v>
      </c>
      <c r="AN538" s="32">
        <f t="shared" si="323"/>
        <v>2586.2385031044478</v>
      </c>
      <c r="AO538" s="32">
        <f t="shared" si="324"/>
        <v>1.5704096648440682</v>
      </c>
      <c r="AP538" s="61" t="str">
        <f t="shared" si="325"/>
        <v>-9.93035252687571E-06+0.00124520442025944i</v>
      </c>
      <c r="AQ538" s="52">
        <f t="shared" si="326"/>
        <v>-58.094910729609822</v>
      </c>
      <c r="AR538" s="64">
        <f t="shared" si="327"/>
        <v>90.456917127996306</v>
      </c>
      <c r="AS538" s="61" t="str">
        <f t="shared" si="328"/>
        <v>-0.0000383621679827505+0.0000123054360923272i</v>
      </c>
      <c r="AT538" s="67">
        <f t="shared" si="329"/>
        <v>-87.896601567153425</v>
      </c>
      <c r="AU538" s="64">
        <f t="shared" si="330"/>
        <v>162.21531289738942</v>
      </c>
    </row>
    <row r="539" spans="14:47" x14ac:dyDescent="0.25">
      <c r="N539" s="11">
        <v>21</v>
      </c>
      <c r="O539" s="53">
        <f t="shared" si="298"/>
        <v>1621810.0973589318</v>
      </c>
      <c r="P539" s="51" t="str">
        <f t="shared" si="299"/>
        <v>122.692307692308</v>
      </c>
      <c r="Q539" s="18" t="str">
        <f t="shared" si="300"/>
        <v>1+10444.8867091301i</v>
      </c>
      <c r="R539" s="18">
        <f t="shared" si="308"/>
        <v>10444.886757000411</v>
      </c>
      <c r="S539" s="18">
        <f t="shared" si="309"/>
        <v>1.5707005861684262</v>
      </c>
      <c r="T539" s="18" t="str">
        <f t="shared" si="301"/>
        <v>1+2.08897734182603i</v>
      </c>
      <c r="U539" s="18">
        <f t="shared" si="310"/>
        <v>2.315993595557325</v>
      </c>
      <c r="V539" s="18">
        <f t="shared" si="311"/>
        <v>1.1243309047581962</v>
      </c>
      <c r="W539" s="32" t="str">
        <f t="shared" si="302"/>
        <v>1-98.9537745069779i</v>
      </c>
      <c r="X539" s="18">
        <f t="shared" si="312"/>
        <v>98.958827242332589</v>
      </c>
      <c r="Y539" s="18">
        <f t="shared" si="313"/>
        <v>-1.5606909420821824</v>
      </c>
      <c r="Z539" s="32" t="str">
        <f t="shared" si="303"/>
        <v>-84.8863017761751+10.5595649024169i</v>
      </c>
      <c r="AA539" s="18">
        <f t="shared" si="314"/>
        <v>85.540567219093333</v>
      </c>
      <c r="AB539" s="18">
        <f t="shared" si="315"/>
        <v>3.0178318481549367</v>
      </c>
      <c r="AC539" s="69" t="str">
        <f t="shared" si="316"/>
        <v>0.00967601055917679+0.0299483350235199i</v>
      </c>
      <c r="AD539" s="67">
        <f t="shared" si="317"/>
        <v>-30.041332648972951</v>
      </c>
      <c r="AE539" s="64">
        <f t="shared" si="318"/>
        <v>72.094868867546253</v>
      </c>
      <c r="AF539" s="32" t="str">
        <f t="shared" si="304"/>
        <v>-0.0000198412698412698</v>
      </c>
      <c r="AG539" s="32" t="str">
        <f t="shared" si="305"/>
        <v>0.352578614766735i</v>
      </c>
      <c r="AH539" s="32">
        <f t="shared" si="319"/>
        <v>0.35257861476673502</v>
      </c>
      <c r="AI539" s="32">
        <f t="shared" si="320"/>
        <v>1.5707963267948966</v>
      </c>
      <c r="AJ539" s="32" t="str">
        <f t="shared" si="306"/>
        <v>1+122.380556705628i</v>
      </c>
      <c r="AK539" s="32">
        <f t="shared" si="321"/>
        <v>122.38464225375432</v>
      </c>
      <c r="AL539" s="32">
        <f t="shared" si="322"/>
        <v>1.5626252760049475</v>
      </c>
      <c r="AM539" s="32" t="str">
        <f t="shared" si="307"/>
        <v>1+2646.47953875921i</v>
      </c>
      <c r="AN539" s="32">
        <f t="shared" si="323"/>
        <v>2646.4797276894378</v>
      </c>
      <c r="AO539" s="32">
        <f t="shared" si="324"/>
        <v>1.5704184663437721</v>
      </c>
      <c r="AP539" s="61" t="str">
        <f t="shared" si="325"/>
        <v>-0.000009483442879475+0.00121686375897893i</v>
      </c>
      <c r="AQ539" s="52">
        <f t="shared" si="326"/>
        <v>-58.294897093700868</v>
      </c>
      <c r="AR539" s="64">
        <f t="shared" si="327"/>
        <v>90.446516915356781</v>
      </c>
      <c r="AS539" s="61" t="str">
        <f t="shared" si="328"/>
        <v>-0.0000365348054253199+0.0000114903732564288i</v>
      </c>
      <c r="AT539" s="67">
        <f t="shared" si="329"/>
        <v>-88.336229742673822</v>
      </c>
      <c r="AU539" s="64">
        <f t="shared" si="330"/>
        <v>162.54138578290298</v>
      </c>
    </row>
    <row r="540" spans="14:47" x14ac:dyDescent="0.25">
      <c r="N540" s="11">
        <v>22</v>
      </c>
      <c r="O540" s="53">
        <f t="shared" si="298"/>
        <v>1659586.9074375622</v>
      </c>
      <c r="P540" s="51" t="str">
        <f t="shared" si="299"/>
        <v>122.692307692308</v>
      </c>
      <c r="Q540" s="18" t="str">
        <f t="shared" si="300"/>
        <v>1+10688.1793746193i</v>
      </c>
      <c r="R540" s="18">
        <f t="shared" si="308"/>
        <v>10688.179421399951</v>
      </c>
      <c r="S540" s="18">
        <f t="shared" si="309"/>
        <v>1.5707027654911392</v>
      </c>
      <c r="T540" s="18" t="str">
        <f t="shared" si="301"/>
        <v>1+2.13763587492386i</v>
      </c>
      <c r="U540" s="18">
        <f t="shared" si="310"/>
        <v>2.3599760875401889</v>
      </c>
      <c r="V540" s="18">
        <f t="shared" si="311"/>
        <v>1.133233564856668</v>
      </c>
      <c r="W540" s="32" t="str">
        <f t="shared" si="302"/>
        <v>1-101.258704012721i</v>
      </c>
      <c r="X540" s="18">
        <f t="shared" si="312"/>
        <v>101.2636417394508</v>
      </c>
      <c r="Y540" s="18">
        <f t="shared" si="313"/>
        <v>-1.5609209535924338</v>
      </c>
      <c r="Z540" s="32" t="str">
        <f t="shared" si="303"/>
        <v>-88.933998476348+10.805528766177i</v>
      </c>
      <c r="AA540" s="18">
        <f t="shared" si="314"/>
        <v>89.588032330818294</v>
      </c>
      <c r="AB540" s="18">
        <f t="shared" si="315"/>
        <v>3.0206847530315057</v>
      </c>
      <c r="AC540" s="69" t="str">
        <f t="shared" si="316"/>
        <v>0.00924462079379773+0.029192564846924i</v>
      </c>
      <c r="AD540" s="67">
        <f t="shared" si="317"/>
        <v>-30.279505085499842</v>
      </c>
      <c r="AE540" s="64">
        <f t="shared" si="318"/>
        <v>72.428190754078059</v>
      </c>
      <c r="AF540" s="32" t="str">
        <f t="shared" si="304"/>
        <v>-0.0000198412698412698</v>
      </c>
      <c r="AG540" s="32" t="str">
        <f t="shared" si="305"/>
        <v>0.360791225718856i</v>
      </c>
      <c r="AH540" s="32">
        <f t="shared" si="319"/>
        <v>0.36079122571885602</v>
      </c>
      <c r="AI540" s="32">
        <f t="shared" si="320"/>
        <v>1.5707963267948966</v>
      </c>
      <c r="AJ540" s="32" t="str">
        <f t="shared" si="306"/>
        <v>1+125.231166068287i</v>
      </c>
      <c r="AK540" s="32">
        <f t="shared" si="321"/>
        <v>125.23515862098341</v>
      </c>
      <c r="AL540" s="32">
        <f t="shared" si="322"/>
        <v>1.5628112638304517</v>
      </c>
      <c r="AM540" s="32" t="str">
        <f t="shared" si="307"/>
        <v>1+2708.12396622671i</v>
      </c>
      <c r="AN540" s="32">
        <f t="shared" si="323"/>
        <v>2708.1241508563608</v>
      </c>
      <c r="AO540" s="32">
        <f t="shared" si="324"/>
        <v>1.5704270674969396</v>
      </c>
      <c r="AP540" s="61" t="str">
        <f t="shared" si="325"/>
        <v>-9.05664485418046E-06+0.00118916796618794i</v>
      </c>
      <c r="AQ540" s="52">
        <f t="shared" si="326"/>
        <v>-58.494884071468874</v>
      </c>
      <c r="AR540" s="64">
        <f t="shared" si="327"/>
        <v>90.436353407690021</v>
      </c>
      <c r="AS540" s="61" t="str">
        <f t="shared" si="328"/>
        <v>-0.0000347985882141672+0.000010729020215338i</v>
      </c>
      <c r="AT540" s="67">
        <f t="shared" si="329"/>
        <v>-88.774389156968709</v>
      </c>
      <c r="AU540" s="64">
        <f t="shared" si="330"/>
        <v>162.86454416176804</v>
      </c>
    </row>
    <row r="541" spans="14:47" x14ac:dyDescent="0.25">
      <c r="N541" s="11">
        <v>23</v>
      </c>
      <c r="O541" s="53">
        <f t="shared" si="298"/>
        <v>1698243.6524617488</v>
      </c>
      <c r="P541" s="51" t="str">
        <f t="shared" si="299"/>
        <v>122.692307692308</v>
      </c>
      <c r="Q541" s="18" t="str">
        <f t="shared" si="300"/>
        <v>1+10937.1390542877i</v>
      </c>
      <c r="R541" s="18">
        <f t="shared" si="308"/>
        <v>10937.139100003493</v>
      </c>
      <c r="S541" s="18">
        <f t="shared" si="309"/>
        <v>1.5707048952064118</v>
      </c>
      <c r="T541" s="18" t="str">
        <f t="shared" si="301"/>
        <v>1+2.18742781085754i</v>
      </c>
      <c r="U541" s="18">
        <f t="shared" si="310"/>
        <v>2.4051695216165134</v>
      </c>
      <c r="V541" s="18">
        <f t="shared" si="311"/>
        <v>1.1420058206689809</v>
      </c>
      <c r="W541" s="32" t="str">
        <f t="shared" si="302"/>
        <v>1-103.617322223649i</v>
      </c>
      <c r="X541" s="18">
        <f t="shared" si="312"/>
        <v>103.62214755929112</v>
      </c>
      <c r="Y541" s="18">
        <f t="shared" si="313"/>
        <v>-1.5611457304112273</v>
      </c>
      <c r="Z541" s="32" t="str">
        <f t="shared" si="303"/>
        <v>-93.1724572449511+11.0572218643171i</v>
      </c>
      <c r="AA541" s="18">
        <f t="shared" si="314"/>
        <v>93.826270012289058</v>
      </c>
      <c r="AB541" s="18">
        <f t="shared" si="315"/>
        <v>3.0234703288227394</v>
      </c>
      <c r="AC541" s="69" t="str">
        <f t="shared" si="316"/>
        <v>0.00883227861224058+0.0284589693573703i</v>
      </c>
      <c r="AD541" s="67">
        <f t="shared" si="317"/>
        <v>-30.516251430978922</v>
      </c>
      <c r="AE541" s="64">
        <f t="shared" si="318"/>
        <v>72.758201465835185</v>
      </c>
      <c r="AF541" s="32" t="str">
        <f t="shared" si="304"/>
        <v>-0.0000198412698412698</v>
      </c>
      <c r="AG541" s="32" t="str">
        <f t="shared" si="305"/>
        <v>0.36919513295449i</v>
      </c>
      <c r="AH541" s="32">
        <f t="shared" si="319"/>
        <v>0.36919513295449002</v>
      </c>
      <c r="AI541" s="32">
        <f t="shared" si="320"/>
        <v>1.5707963267948966</v>
      </c>
      <c r="AJ541" s="32" t="str">
        <f t="shared" si="306"/>
        <v>1+128.148174652826i</v>
      </c>
      <c r="AK541" s="32">
        <f t="shared" si="321"/>
        <v>128.15207632672673</v>
      </c>
      <c r="AL541" s="32">
        <f t="shared" si="322"/>
        <v>1.5629930185899972</v>
      </c>
      <c r="AM541" s="32" t="str">
        <f t="shared" si="307"/>
        <v>1+2771.20427686737i</v>
      </c>
      <c r="AN541" s="32">
        <f t="shared" si="323"/>
        <v>2771.2044572943373</v>
      </c>
      <c r="AO541" s="32">
        <f t="shared" si="324"/>
        <v>1.5704354728640109</v>
      </c>
      <c r="AP541" s="61" t="str">
        <f t="shared" si="325"/>
        <v>-8.64905350987586E-06+0.00116210237915262i</v>
      </c>
      <c r="AQ541" s="52">
        <f t="shared" si="326"/>
        <v>-58.694871635297154</v>
      </c>
      <c r="AR541" s="64">
        <f t="shared" si="327"/>
        <v>90.426421219120087</v>
      </c>
      <c r="AS541" s="61" t="str">
        <f t="shared" si="328"/>
        <v>-0.0000331486268487629+0.0000100178688398158i</v>
      </c>
      <c r="AT541" s="67">
        <f t="shared" si="329"/>
        <v>-89.211123066276073</v>
      </c>
      <c r="AU541" s="64">
        <f t="shared" si="330"/>
        <v>163.1846226849552</v>
      </c>
    </row>
    <row r="542" spans="14:47" x14ac:dyDescent="0.25">
      <c r="N542" s="11">
        <v>24</v>
      </c>
      <c r="O542" s="53">
        <f t="shared" si="298"/>
        <v>1737800.8287493798</v>
      </c>
      <c r="P542" s="51" t="str">
        <f t="shared" si="299"/>
        <v>122.692307692308</v>
      </c>
      <c r="Q542" s="18" t="str">
        <f t="shared" si="300"/>
        <v>1+11191.8977498527i</v>
      </c>
      <c r="R542" s="18">
        <f t="shared" si="308"/>
        <v>11191.897794527877</v>
      </c>
      <c r="S542" s="18">
        <f t="shared" si="309"/>
        <v>1.5707069764434469</v>
      </c>
      <c r="T542" s="18" t="str">
        <f t="shared" si="301"/>
        <v>1+2.23837954997054i</v>
      </c>
      <c r="U542" s="18">
        <f t="shared" si="310"/>
        <v>2.4516000917209801</v>
      </c>
      <c r="V542" s="18">
        <f t="shared" si="311"/>
        <v>1.1506469219634792</v>
      </c>
      <c r="W542" s="32" t="str">
        <f t="shared" si="302"/>
        <v>1-106.030879710356i</v>
      </c>
      <c r="X542" s="18">
        <f t="shared" si="312"/>
        <v>106.03559521289057</v>
      </c>
      <c r="Y542" s="18">
        <f t="shared" si="313"/>
        <v>-1.5613653916273011</v>
      </c>
      <c r="Z542" s="32" t="str">
        <f t="shared" si="303"/>
        <v>-97.6106684212905+11.3147776478492i</v>
      </c>
      <c r="AA542" s="18">
        <f t="shared" si="314"/>
        <v>98.264270123333162</v>
      </c>
      <c r="AB542" s="18">
        <f t="shared" si="315"/>
        <v>3.0261902677700969</v>
      </c>
      <c r="AC542" s="69" t="str">
        <f t="shared" si="316"/>
        <v>0.00843816005383658+0.0277467090251297i</v>
      </c>
      <c r="AD542" s="67">
        <f t="shared" si="317"/>
        <v>-30.751614512013425</v>
      </c>
      <c r="AE542" s="64">
        <f t="shared" si="318"/>
        <v>73.084754171436231</v>
      </c>
      <c r="AF542" s="32" t="str">
        <f t="shared" si="304"/>
        <v>-0.0000198412698412698</v>
      </c>
      <c r="AG542" s="32" t="str">
        <f t="shared" si="305"/>
        <v>0.37779479233649i</v>
      </c>
      <c r="AH542" s="32">
        <f t="shared" si="319"/>
        <v>0.37779479233648999</v>
      </c>
      <c r="AI542" s="32">
        <f t="shared" si="320"/>
        <v>1.5707963267948966</v>
      </c>
      <c r="AJ542" s="32" t="str">
        <f t="shared" si="306"/>
        <v>1+131.133129095806i</v>
      </c>
      <c r="AK542" s="32">
        <f t="shared" si="321"/>
        <v>131.13694195937819</v>
      </c>
      <c r="AL542" s="32">
        <f t="shared" si="322"/>
        <v>1.5631706366043019</v>
      </c>
      <c r="AM542" s="32" t="str">
        <f t="shared" si="307"/>
        <v>1+2835.75391669682i</v>
      </c>
      <c r="AN542" s="32">
        <f t="shared" si="323"/>
        <v>2835.7540930167684</v>
      </c>
      <c r="AO542" s="32">
        <f t="shared" si="324"/>
        <v>1.5704436869016181</v>
      </c>
      <c r="AP542" s="61" t="str">
        <f t="shared" si="325"/>
        <v>-8.25980461418302E-06+0.00113565266781827i</v>
      </c>
      <c r="AQ542" s="52">
        <f t="shared" si="326"/>
        <v>-58.894859758811968</v>
      </c>
      <c r="AR542" s="64">
        <f t="shared" si="327"/>
        <v>90.416715086222581</v>
      </c>
      <c r="AS542" s="61" t="str">
        <f t="shared" si="328"/>
        <v>-0.0000315803216809137+9.35363658138291E-06i</v>
      </c>
      <c r="AT542" s="67">
        <f t="shared" si="329"/>
        <v>-89.646474270825394</v>
      </c>
      <c r="AU542" s="64">
        <f t="shared" si="330"/>
        <v>163.50146925765881</v>
      </c>
    </row>
    <row r="543" spans="14:47" x14ac:dyDescent="0.25">
      <c r="N543" s="11">
        <v>25</v>
      </c>
      <c r="O543" s="53">
        <f t="shared" si="298"/>
        <v>1778279.4100389241</v>
      </c>
      <c r="P543" s="51" t="str">
        <f t="shared" si="299"/>
        <v>122.692307692308</v>
      </c>
      <c r="Q543" s="18" t="str">
        <f t="shared" si="300"/>
        <v>1+11452.5905377469i</v>
      </c>
      <c r="R543" s="18">
        <f t="shared" si="308"/>
        <v>11452.590581405146</v>
      </c>
      <c r="S543" s="18">
        <f t="shared" si="309"/>
        <v>1.5707090103057439</v>
      </c>
      <c r="T543" s="18" t="str">
        <f t="shared" si="301"/>
        <v>1+2.29051810754938i</v>
      </c>
      <c r="U543" s="18">
        <f t="shared" si="310"/>
        <v>2.4992945406677447</v>
      </c>
      <c r="V543" s="18">
        <f t="shared" si="311"/>
        <v>1.1591562875754271</v>
      </c>
      <c r="W543" s="32" t="str">
        <f t="shared" si="302"/>
        <v>1-108.50065617297i</v>
      </c>
      <c r="X543" s="18">
        <f t="shared" si="312"/>
        <v>108.50526434217399</v>
      </c>
      <c r="Y543" s="18">
        <f t="shared" si="313"/>
        <v>-1.5615800536230999</v>
      </c>
      <c r="Z543" s="32" t="str">
        <f t="shared" si="303"/>
        <v>-102.258046046314+11.5783326762589i</v>
      </c>
      <c r="AA543" s="18">
        <f t="shared" si="314"/>
        <v>102.91144624759774</v>
      </c>
      <c r="AB543" s="18">
        <f t="shared" si="315"/>
        <v>3.0288462129218856</v>
      </c>
      <c r="AC543" s="69" t="str">
        <f t="shared" si="316"/>
        <v>0.00806147519029584+0.0270549860866954i</v>
      </c>
      <c r="AD543" s="67">
        <f t="shared" si="317"/>
        <v>-30.985636639453105</v>
      </c>
      <c r="AE543" s="64">
        <f t="shared" si="318"/>
        <v>73.407714701411876</v>
      </c>
      <c r="AF543" s="32" t="str">
        <f t="shared" si="304"/>
        <v>-0.0000198412698412698</v>
      </c>
      <c r="AG543" s="32" t="str">
        <f t="shared" si="305"/>
        <v>0.386594763518093i</v>
      </c>
      <c r="AH543" s="32">
        <f t="shared" si="319"/>
        <v>0.38659476351809302</v>
      </c>
      <c r="AI543" s="32">
        <f t="shared" si="320"/>
        <v>1.5707963267948966</v>
      </c>
      <c r="AJ543" s="32" t="str">
        <f t="shared" si="306"/>
        <v>1+134.187612059586i</v>
      </c>
      <c r="AK543" s="32">
        <f t="shared" si="321"/>
        <v>134.19133813422516</v>
      </c>
      <c r="AL543" s="32">
        <f t="shared" si="322"/>
        <v>1.563344212003934</v>
      </c>
      <c r="AM543" s="32" t="str">
        <f t="shared" si="307"/>
        <v>1+2901.80711078854i</v>
      </c>
      <c r="AN543" s="32">
        <f t="shared" si="323"/>
        <v>2901.8072830949563</v>
      </c>
      <c r="AO543" s="32">
        <f t="shared" si="324"/>
        <v>1.5704517139649479</v>
      </c>
      <c r="AP543" s="61" t="str">
        <f t="shared" si="325"/>
        <v>-7.88807281305403E-06+0.0011098048273091i</v>
      </c>
      <c r="AQ543" s="52">
        <f t="shared" si="326"/>
        <v>-59.094848416826366</v>
      </c>
      <c r="AR543" s="64">
        <f t="shared" si="327"/>
        <v>90.407229865247047</v>
      </c>
      <c r="AS543" s="61" t="str">
        <f t="shared" si="328"/>
        <v>-0.0000300893436650768+8.73325238121485E-06i</v>
      </c>
      <c r="AT543" s="67">
        <f t="shared" si="329"/>
        <v>-90.080485056279457</v>
      </c>
      <c r="AU543" s="64">
        <f t="shared" si="330"/>
        <v>163.81494456665894</v>
      </c>
    </row>
    <row r="544" spans="14:47" x14ac:dyDescent="0.25">
      <c r="N544" s="11">
        <v>26</v>
      </c>
      <c r="O544" s="53">
        <f t="shared" si="298"/>
        <v>1819700.8586099846</v>
      </c>
      <c r="P544" s="51" t="str">
        <f t="shared" si="299"/>
        <v>122.692307692308</v>
      </c>
      <c r="Q544" s="18" t="str">
        <f t="shared" si="300"/>
        <v>1+11719.3556407373i</v>
      </c>
      <c r="R544" s="18">
        <f t="shared" si="308"/>
        <v>11719.355683401762</v>
      </c>
      <c r="S544" s="18">
        <f t="shared" si="309"/>
        <v>1.5707109978716838</v>
      </c>
      <c r="T544" s="18" t="str">
        <f t="shared" si="301"/>
        <v>1+2.34387112814746i</v>
      </c>
      <c r="U544" s="18">
        <f t="shared" si="310"/>
        <v>2.5482801779559576</v>
      </c>
      <c r="V544" s="18">
        <f t="shared" si="311"/>
        <v>1.1675334989789261</v>
      </c>
      <c r="W544" s="32" t="str">
        <f t="shared" si="302"/>
        <v>1-111.027961119664i</v>
      </c>
      <c r="X544" s="18">
        <f t="shared" si="312"/>
        <v>111.0324643984345</v>
      </c>
      <c r="Y544" s="18">
        <f t="shared" si="313"/>
        <v>-1.5617898301360775</v>
      </c>
      <c r="Z544" s="32" t="str">
        <f t="shared" si="303"/>
        <v>-107.124447831049+11.848026689911i</v>
      </c>
      <c r="AA544" s="18">
        <f t="shared" si="314"/>
        <v>107.77765565993715</v>
      </c>
      <c r="AB544" s="18">
        <f t="shared" si="315"/>
        <v>3.0314397599668905</v>
      </c>
      <c r="AC544" s="69" t="str">
        <f t="shared" si="316"/>
        <v>0.00770146687805602+0.0263830420495785i</v>
      </c>
      <c r="AD544" s="67">
        <f t="shared" si="317"/>
        <v>-31.218359554769908</v>
      </c>
      <c r="AE544" s="64">
        <f t="shared" si="318"/>
        <v>73.726961071299527</v>
      </c>
      <c r="AF544" s="32" t="str">
        <f t="shared" si="304"/>
        <v>-0.0000198412698412698</v>
      </c>
      <c r="AG544" s="32" t="str">
        <f t="shared" si="305"/>
        <v>0.3955997123605i</v>
      </c>
      <c r="AH544" s="32">
        <f t="shared" si="319"/>
        <v>0.39559971236050001</v>
      </c>
      <c r="AI544" s="32">
        <f t="shared" si="320"/>
        <v>1.5707963267948966</v>
      </c>
      <c r="AJ544" s="32" t="str">
        <f t="shared" si="306"/>
        <v>1+137.313243071462i</v>
      </c>
      <c r="AK544" s="32">
        <f t="shared" si="321"/>
        <v>137.31688433256275</v>
      </c>
      <c r="AL544" s="32">
        <f t="shared" si="322"/>
        <v>1.563513836779008</v>
      </c>
      <c r="AM544" s="32" t="str">
        <f t="shared" si="307"/>
        <v>1+2969.39888142038i</v>
      </c>
      <c r="AN544" s="32">
        <f t="shared" si="323"/>
        <v>2969.3990498046237</v>
      </c>
      <c r="AO544" s="32">
        <f t="shared" si="324"/>
        <v>1.5704595583100518</v>
      </c>
      <c r="AP544" s="61" t="str">
        <f t="shared" si="325"/>
        <v>-7.53306988258965E-06+0.0010845451705939i</v>
      </c>
      <c r="AQ544" s="52">
        <f t="shared" si="326"/>
        <v>-59.294837585286245</v>
      </c>
      <c r="AR544" s="64">
        <f t="shared" si="327"/>
        <v>90.397960529401956</v>
      </c>
      <c r="AS544" s="61" t="str">
        <f t="shared" si="328"/>
        <v>-0.000028671616528637+8.15384340960976E-06i</v>
      </c>
      <c r="AT544" s="67">
        <f t="shared" si="329"/>
        <v>-90.51319714005615</v>
      </c>
      <c r="AU544" s="64">
        <f t="shared" si="330"/>
        <v>164.1249216007015</v>
      </c>
    </row>
    <row r="545" spans="14:47" x14ac:dyDescent="0.25">
      <c r="N545" s="11">
        <v>27</v>
      </c>
      <c r="O545" s="53">
        <f t="shared" si="298"/>
        <v>1862087.1366628683</v>
      </c>
      <c r="P545" s="51" t="str">
        <f t="shared" si="299"/>
        <v>122.692307692308</v>
      </c>
      <c r="Q545" s="18" t="str">
        <f t="shared" si="300"/>
        <v>1+11992.3345012124i</v>
      </c>
      <c r="R545" s="18">
        <f t="shared" si="308"/>
        <v>11992.334542905699</v>
      </c>
      <c r="S545" s="18">
        <f t="shared" si="309"/>
        <v>1.5707129401950999</v>
      </c>
      <c r="T545" s="18" t="str">
        <f t="shared" si="301"/>
        <v>1+2.39846690024248i</v>
      </c>
      <c r="U545" s="18">
        <f t="shared" si="310"/>
        <v>2.5985848978932302</v>
      </c>
      <c r="V545" s="18">
        <f t="shared" si="311"/>
        <v>1.1757782936860599</v>
      </c>
      <c r="W545" s="32" t="str">
        <f t="shared" si="302"/>
        <v>1-113.614134560973i</v>
      </c>
      <c r="X545" s="18">
        <f t="shared" si="312"/>
        <v>113.61853533662048</v>
      </c>
      <c r="Y545" s="18">
        <f t="shared" si="313"/>
        <v>-1.5619948323186235</v>
      </c>
      <c r="Z545" s="32" t="str">
        <f t="shared" si="303"/>
        <v>-112.220196066132+12.1240026841413i</v>
      </c>
      <c r="AA545" s="18">
        <f t="shared" si="314"/>
        <v>112.87322023494401</v>
      </c>
      <c r="AB545" s="18">
        <f t="shared" si="315"/>
        <v>3.0339724589785293</v>
      </c>
      <c r="AC545" s="69" t="str">
        <f t="shared" si="316"/>
        <v>0.00735740953978347+0.025730155360252i</v>
      </c>
      <c r="AD545" s="67">
        <f t="shared" si="317"/>
        <v>-31.449824381251833</v>
      </c>
      <c r="AE545" s="64">
        <f t="shared" si="318"/>
        <v>74.042383000041099</v>
      </c>
      <c r="AF545" s="32" t="str">
        <f t="shared" si="304"/>
        <v>-0.0000198412698412698</v>
      </c>
      <c r="AG545" s="32" t="str">
        <f t="shared" si="305"/>
        <v>0.404814413406781i</v>
      </c>
      <c r="AH545" s="32">
        <f t="shared" si="319"/>
        <v>0.40481441340678098</v>
      </c>
      <c r="AI545" s="32">
        <f t="shared" si="320"/>
        <v>1.5707963267948966</v>
      </c>
      <c r="AJ545" s="32" t="str">
        <f t="shared" si="306"/>
        <v>1+140.511679382371i</v>
      </c>
      <c r="AK545" s="32">
        <f t="shared" si="321"/>
        <v>140.51523776037325</v>
      </c>
      <c r="AL545" s="32">
        <f t="shared" si="322"/>
        <v>1.5636796008277576</v>
      </c>
      <c r="AM545" s="32" t="str">
        <f t="shared" si="307"/>
        <v>1+3038.56506664378i</v>
      </c>
      <c r="AN545" s="32">
        <f t="shared" si="323"/>
        <v>3038.5652311951303</v>
      </c>
      <c r="AO545" s="32">
        <f t="shared" si="324"/>
        <v>1.5704672240961015</v>
      </c>
      <c r="AP545" s="61" t="str">
        <f t="shared" si="325"/>
        <v>-7.19404305939312E-06+0.00105986032131396i</v>
      </c>
      <c r="AQ545" s="52">
        <f t="shared" si="326"/>
        <v>-59.494827241220484</v>
      </c>
      <c r="AR545" s="64">
        <f t="shared" si="327"/>
        <v>90.388902166200893</v>
      </c>
      <c r="AS545" s="61" t="str">
        <f t="shared" si="328"/>
        <v>-0.0000273233002486096+7.61272259328677E-06i</v>
      </c>
      <c r="AT545" s="67">
        <f t="shared" si="329"/>
        <v>-90.944651622472307</v>
      </c>
      <c r="AU545" s="64">
        <f t="shared" si="330"/>
        <v>164.43128516624202</v>
      </c>
    </row>
    <row r="546" spans="14:47" x14ac:dyDescent="0.25">
      <c r="N546" s="11">
        <v>28</v>
      </c>
      <c r="O546" s="53">
        <f t="shared" si="298"/>
        <v>1905460.7179632513</v>
      </c>
      <c r="P546" s="51" t="str">
        <f t="shared" si="299"/>
        <v>122.692307692308</v>
      </c>
      <c r="Q546" s="18" t="str">
        <f t="shared" si="300"/>
        <v>1+12271.6718561775i</v>
      </c>
      <c r="R546" s="18">
        <f t="shared" si="308"/>
        <v>12271.671896921742</v>
      </c>
      <c r="S546" s="18">
        <f t="shared" si="309"/>
        <v>1.5707148383058378</v>
      </c>
      <c r="T546" s="18" t="str">
        <f t="shared" si="301"/>
        <v>1+2.4543343712355i</v>
      </c>
      <c r="U546" s="18">
        <f t="shared" si="310"/>
        <v>2.6502371980311419</v>
      </c>
      <c r="V546" s="18">
        <f t="shared" si="311"/>
        <v>1.1838905585174946</v>
      </c>
      <c r="W546" s="32" t="str">
        <f t="shared" si="302"/>
        <v>1-116.260547720287i</v>
      </c>
      <c r="X546" s="18">
        <f t="shared" si="312"/>
        <v>116.26484832579936</v>
      </c>
      <c r="Y546" s="18">
        <f t="shared" si="313"/>
        <v>-1.5621951687966456</v>
      </c>
      <c r="Z546" s="32" t="str">
        <f t="shared" si="303"/>
        <v>-117.556099516769+12.4064069850749i</v>
      </c>
      <c r="AA546" s="18">
        <f t="shared" si="314"/>
        <v>118.20894834096028</v>
      </c>
      <c r="AB546" s="18">
        <f t="shared" si="315"/>
        <v>3.0364458160747398</v>
      </c>
      <c r="AC546" s="69" t="str">
        <f t="shared" si="316"/>
        <v>0.00702860797634872+0.0250956392241253i</v>
      </c>
      <c r="AD546" s="67">
        <f t="shared" si="317"/>
        <v>-31.680071579921059</v>
      </c>
      <c r="AE546" s="64">
        <f t="shared" si="318"/>
        <v>74.35388142592555</v>
      </c>
      <c r="AF546" s="32" t="str">
        <f t="shared" si="304"/>
        <v>-0.0000198412698412698</v>
      </c>
      <c r="AG546" s="32" t="str">
        <f t="shared" si="305"/>
        <v>0.414243752413404i</v>
      </c>
      <c r="AH546" s="32">
        <f t="shared" si="319"/>
        <v>0.414243752413404</v>
      </c>
      <c r="AI546" s="32">
        <f t="shared" si="320"/>
        <v>1.5707963267948966</v>
      </c>
      <c r="AJ546" s="32" t="str">
        <f t="shared" si="306"/>
        <v>1+143.784616845582i</v>
      </c>
      <c r="AK546" s="32">
        <f t="shared" si="321"/>
        <v>143.78809422699373</v>
      </c>
      <c r="AL546" s="32">
        <f t="shared" si="322"/>
        <v>1.5638415920040165</v>
      </c>
      <c r="AM546" s="32" t="str">
        <f t="shared" si="307"/>
        <v>1+3109.34233928571i</v>
      </c>
      <c r="AN546" s="32">
        <f t="shared" si="323"/>
        <v>3109.3425000914144</v>
      </c>
      <c r="AO546" s="32">
        <f t="shared" si="324"/>
        <v>1.5704747153875944</v>
      </c>
      <c r="AP546" s="61" t="str">
        <f t="shared" si="325"/>
        <v>-6.87027344594173E-06+0.00103573720677028i</v>
      </c>
      <c r="AQ546" s="52">
        <f t="shared" si="326"/>
        <v>-59.694817362691325</v>
      </c>
      <c r="AR546" s="64">
        <f t="shared" si="327"/>
        <v>90.380049974868555</v>
      </c>
      <c r="AS546" s="61" t="str">
        <f t="shared" si="328"/>
        <v>-0.0000260407757308521+7.10737688913629E-06i</v>
      </c>
      <c r="AT546" s="67">
        <f t="shared" si="329"/>
        <v>-91.374888942612387</v>
      </c>
      <c r="AU546" s="64">
        <f t="shared" si="330"/>
        <v>164.73393140079415</v>
      </c>
    </row>
    <row r="547" spans="14:47" x14ac:dyDescent="0.25">
      <c r="N547" s="11">
        <v>29</v>
      </c>
      <c r="O547" s="53">
        <f t="shared" si="298"/>
        <v>1949844.5997580495</v>
      </c>
      <c r="P547" s="51" t="str">
        <f t="shared" si="299"/>
        <v>122.692307692308</v>
      </c>
      <c r="Q547" s="18" t="str">
        <f t="shared" si="300"/>
        <v>1+12557.5158139953i</v>
      </c>
      <c r="R547" s="18">
        <f t="shared" si="308"/>
        <v>12557.515853812092</v>
      </c>
      <c r="S547" s="18">
        <f t="shared" si="309"/>
        <v>1.5707166932103009</v>
      </c>
      <c r="T547" s="18" t="str">
        <f t="shared" si="301"/>
        <v>1+2.51150316279906i</v>
      </c>
      <c r="U547" s="18">
        <f t="shared" si="310"/>
        <v>2.7032661979075758</v>
      </c>
      <c r="V547" s="18">
        <f t="shared" si="311"/>
        <v>1.1918703227859306</v>
      </c>
      <c r="W547" s="32" t="str">
        <f t="shared" si="302"/>
        <v>1-118.968603760891i</v>
      </c>
      <c r="X547" s="18">
        <f t="shared" si="312"/>
        <v>118.97280647616869</v>
      </c>
      <c r="Y547" s="18">
        <f t="shared" si="313"/>
        <v>-1.5623909457268357</v>
      </c>
      <c r="Z547" s="32" t="str">
        <f t="shared" si="303"/>
        <v>-123.14347634957+12.6953893272101i</v>
      </c>
      <c r="AA547" s="18">
        <f t="shared" si="314"/>
        <v>123.79615776600882</v>
      </c>
      <c r="AB547" s="18">
        <f t="shared" si="315"/>
        <v>3.0388612949985014</v>
      </c>
      <c r="AC547" s="69" t="str">
        <f t="shared" si="316"/>
        <v>0.00671439621027748+0.0244788395671847i</v>
      </c>
      <c r="AD547" s="67">
        <f t="shared" si="317"/>
        <v>-31.909140910064487</v>
      </c>
      <c r="AE547" s="64">
        <f t="shared" si="318"/>
        <v>74.661368022158911</v>
      </c>
      <c r="AF547" s="32" t="str">
        <f t="shared" si="304"/>
        <v>-0.0000198412698412698</v>
      </c>
      <c r="AG547" s="32" t="str">
        <f t="shared" si="305"/>
        <v>0.42389272894072i</v>
      </c>
      <c r="AH547" s="32">
        <f t="shared" si="319"/>
        <v>0.42389272894072</v>
      </c>
      <c r="AI547" s="32">
        <f t="shared" si="320"/>
        <v>1.5707963267948966</v>
      </c>
      <c r="AJ547" s="32" t="str">
        <f t="shared" si="306"/>
        <v>1+147.133790815856i</v>
      </c>
      <c r="AK547" s="32">
        <f t="shared" si="321"/>
        <v>147.13718904425241</v>
      </c>
      <c r="AL547" s="32">
        <f t="shared" si="322"/>
        <v>1.5639998961636239</v>
      </c>
      <c r="AM547" s="32" t="str">
        <f t="shared" si="307"/>
        <v>1+3181.76822639289i</v>
      </c>
      <c r="AN547" s="32">
        <f t="shared" si="323"/>
        <v>3181.7683835382109</v>
      </c>
      <c r="AO547" s="32">
        <f t="shared" si="324"/>
        <v>1.5704820361565093</v>
      </c>
      <c r="AP547" s="61" t="str">
        <f t="shared" si="325"/>
        <v>-0.0000065610744876084+0.00101216305106636i</v>
      </c>
      <c r="AQ547" s="52">
        <f t="shared" si="326"/>
        <v>-59.894807928748037</v>
      </c>
      <c r="AR547" s="64">
        <f t="shared" si="327"/>
        <v>90.371399263805287</v>
      </c>
      <c r="AS547" s="61" t="str">
        <f t="shared" si="328"/>
        <v>-0.0000248206305965606+6.63545626449235E-06i</v>
      </c>
      <c r="AT547" s="67">
        <f t="shared" si="329"/>
        <v>-91.803948838812502</v>
      </c>
      <c r="AU547" s="64">
        <f t="shared" si="330"/>
        <v>165.03276728596421</v>
      </c>
    </row>
    <row r="548" spans="14:47" x14ac:dyDescent="0.25">
      <c r="N548" s="11">
        <v>30</v>
      </c>
      <c r="O548" s="53">
        <f t="shared" si="298"/>
        <v>1995262.31496888</v>
      </c>
      <c r="P548" s="51" t="str">
        <f t="shared" si="299"/>
        <v>122.692307692308</v>
      </c>
      <c r="Q548" s="18" t="str">
        <f t="shared" si="300"/>
        <v>1+12850.0179329161i</v>
      </c>
      <c r="R548" s="18">
        <f t="shared" si="308"/>
        <v>12850.017971826552</v>
      </c>
      <c r="S548" s="18">
        <f t="shared" si="309"/>
        <v>1.5707185058919841</v>
      </c>
      <c r="T548" s="18" t="str">
        <f t="shared" si="301"/>
        <v>1+2.57000358658323i</v>
      </c>
      <c r="U548" s="18">
        <f t="shared" si="310"/>
        <v>2.7577016580933229</v>
      </c>
      <c r="V548" s="18">
        <f t="shared" si="311"/>
        <v>1.1997177514311672</v>
      </c>
      <c r="W548" s="32" t="str">
        <f t="shared" si="302"/>
        <v>1-121.739738529946i</v>
      </c>
      <c r="X548" s="18">
        <f t="shared" si="312"/>
        <v>121.74384558300932</v>
      </c>
      <c r="Y548" s="18">
        <f t="shared" si="313"/>
        <v>-1.5625822668526486</v>
      </c>
      <c r="Z548" s="32" t="str">
        <f t="shared" si="303"/>
        <v>-128.994178139917+12.99110293281i</v>
      </c>
      <c r="AA548" s="18">
        <f t="shared" si="314"/>
        <v>129.64669972430269</v>
      </c>
      <c r="AB548" s="18">
        <f t="shared" si="315"/>
        <v>3.0412203186235964</v>
      </c>
      <c r="AC548" s="69" t="str">
        <f t="shared" si="316"/>
        <v>0.00641413636138921+0.0238791331296703i</v>
      </c>
      <c r="AD548" s="67">
        <f t="shared" si="317"/>
        <v>-32.137071394240799</v>
      </c>
      <c r="AE548" s="64">
        <f t="shared" si="318"/>
        <v>74.964764714020546</v>
      </c>
      <c r="AF548" s="32" t="str">
        <f t="shared" si="304"/>
        <v>-0.0000198412698412698</v>
      </c>
      <c r="AG548" s="32" t="str">
        <f t="shared" si="305"/>
        <v>0.433766459003803i</v>
      </c>
      <c r="AH548" s="32">
        <f t="shared" si="319"/>
        <v>0.43376645900380301</v>
      </c>
      <c r="AI548" s="32">
        <f t="shared" si="320"/>
        <v>1.5707963267948966</v>
      </c>
      <c r="AJ548" s="32" t="str">
        <f t="shared" si="306"/>
        <v>1+150.560977069568i</v>
      </c>
      <c r="AK548" s="32">
        <f t="shared" si="321"/>
        <v>150.56429794656827</v>
      </c>
      <c r="AL548" s="32">
        <f t="shared" si="322"/>
        <v>1.5641545972097859</v>
      </c>
      <c r="AM548" s="32" t="str">
        <f t="shared" si="307"/>
        <v>1+3255.88112912942i</v>
      </c>
      <c r="AN548" s="32">
        <f t="shared" si="323"/>
        <v>3255.8812826976764</v>
      </c>
      <c r="AO548" s="32">
        <f t="shared" si="324"/>
        <v>1.5704891902844114</v>
      </c>
      <c r="AP548" s="61" t="str">
        <f t="shared" si="325"/>
        <v>-6.26579051811882E-06+0.000989125368403357i</v>
      </c>
      <c r="AQ548" s="52">
        <f t="shared" si="326"/>
        <v>-60.09479891938301</v>
      </c>
      <c r="AR548" s="64">
        <f t="shared" si="327"/>
        <v>90.362945448108846</v>
      </c>
      <c r="AS548" s="61" t="str">
        <f t="shared" si="328"/>
        <v>-0.0000236596459888331+6.19476334550369E-06i</v>
      </c>
      <c r="AT548" s="67">
        <f t="shared" si="329"/>
        <v>-92.231870313623787</v>
      </c>
      <c r="AU548" s="64">
        <f t="shared" si="330"/>
        <v>165.32771016212939</v>
      </c>
    </row>
    <row r="549" spans="14:47" x14ac:dyDescent="0.25">
      <c r="N549" s="11">
        <v>31</v>
      </c>
      <c r="O549" s="53">
        <f t="shared" si="298"/>
        <v>2041737.9446695296</v>
      </c>
      <c r="P549" s="51" t="str">
        <f t="shared" si="299"/>
        <v>122.692307692308</v>
      </c>
      <c r="Q549" s="18" t="str">
        <f t="shared" si="300"/>
        <v>1+13149.3333014351i</v>
      </c>
      <c r="R549" s="18">
        <f t="shared" si="308"/>
        <v>13149.333339459841</v>
      </c>
      <c r="S549" s="18">
        <f t="shared" si="309"/>
        <v>1.5707202773119953</v>
      </c>
      <c r="T549" s="18" t="str">
        <f t="shared" si="301"/>
        <v>1+2.62986666028702i</v>
      </c>
      <c r="U549" s="18">
        <f t="shared" si="310"/>
        <v>2.8135739995403006</v>
      </c>
      <c r="V549" s="18">
        <f t="shared" si="311"/>
        <v>1.207433138142407</v>
      </c>
      <c r="W549" s="32" t="str">
        <f t="shared" si="302"/>
        <v>1-124.575421319784i</v>
      </c>
      <c r="X549" s="18">
        <f t="shared" si="312"/>
        <v>124.57943488795289</v>
      </c>
      <c r="Y549" s="18">
        <f t="shared" si="313"/>
        <v>-1.5627692335590204</v>
      </c>
      <c r="Z549" s="32" t="str">
        <f t="shared" si="303"/>
        <v>-135.12061501072+13.2937045931424i</v>
      </c>
      <c r="AA549" s="18">
        <f t="shared" si="314"/>
        <v>135.77298399418399</v>
      </c>
      <c r="AB549" s="18">
        <f t="shared" si="315"/>
        <v>3.0435242703898546</v>
      </c>
      <c r="AC549" s="69" t="str">
        <f t="shared" si="316"/>
        <v>0.00612721755509804+0.0232959256828374i</v>
      </c>
      <c r="AD549" s="67">
        <f t="shared" si="317"/>
        <v>-32.363901287606829</v>
      </c>
      <c r="AE549" s="64">
        <f t="shared" si="318"/>
        <v>75.264003199402623</v>
      </c>
      <c r="AF549" s="32" t="str">
        <f t="shared" si="304"/>
        <v>-0.0000198412698412698</v>
      </c>
      <c r="AG549" s="32" t="str">
        <f t="shared" si="305"/>
        <v>0.443870177785029i</v>
      </c>
      <c r="AH549" s="32">
        <f t="shared" si="319"/>
        <v>0.44387017778502902</v>
      </c>
      <c r="AI549" s="32">
        <f t="shared" si="320"/>
        <v>1.5707963267948966</v>
      </c>
      <c r="AJ549" s="32" t="str">
        <f t="shared" si="306"/>
        <v>1+154.067992746232i</v>
      </c>
      <c r="AK549" s="32">
        <f t="shared" si="321"/>
        <v>154.07123803245366</v>
      </c>
      <c r="AL549" s="32">
        <f t="shared" si="322"/>
        <v>1.5643057771374085</v>
      </c>
      <c r="AM549" s="32" t="str">
        <f t="shared" si="307"/>
        <v>1+3331.72034313727i</v>
      </c>
      <c r="AN549" s="32">
        <f t="shared" si="323"/>
        <v>3331.7204932098862</v>
      </c>
      <c r="AO549" s="32">
        <f t="shared" si="324"/>
        <v>1.5704961815645111</v>
      </c>
      <c r="AP549" s="61" t="str">
        <f t="shared" si="325"/>
        <v>-5.98379537037634E-06+0.000966611956524597i</v>
      </c>
      <c r="AQ549" s="52">
        <f t="shared" si="326"/>
        <v>-60.294790315488704</v>
      </c>
      <c r="AR549" s="64">
        <f t="shared" si="327"/>
        <v>90.354684047152077</v>
      </c>
      <c r="AS549" s="61" t="str">
        <f t="shared" si="328"/>
        <v>-0.0000225547843193786+5.78324369673558E-06i</v>
      </c>
      <c r="AT549" s="67">
        <f t="shared" si="329"/>
        <v>-92.658691603095519</v>
      </c>
      <c r="AU549" s="64">
        <f t="shared" si="330"/>
        <v>165.61868724655471</v>
      </c>
    </row>
    <row r="550" spans="14:47" x14ac:dyDescent="0.25">
      <c r="N550" s="11">
        <v>32</v>
      </c>
      <c r="O550" s="53">
        <f t="shared" si="298"/>
        <v>2089296.1308540432</v>
      </c>
      <c r="P550" s="51" t="str">
        <f t="shared" si="299"/>
        <v>122.692307692308</v>
      </c>
      <c r="Q550" s="18" t="str">
        <f t="shared" si="300"/>
        <v>1+13455.6206205225i</v>
      </c>
      <c r="R550" s="18">
        <f t="shared" si="308"/>
        <v>13455.620657681693</v>
      </c>
      <c r="S550" s="18">
        <f t="shared" si="309"/>
        <v>1.5707220084095646</v>
      </c>
      <c r="T550" s="18" t="str">
        <f t="shared" si="301"/>
        <v>1+2.69112412410451i</v>
      </c>
      <c r="U550" s="18">
        <f t="shared" si="310"/>
        <v>2.8709143232317582</v>
      </c>
      <c r="V550" s="18">
        <f t="shared" si="311"/>
        <v>1.2150168985007492</v>
      </c>
      <c r="W550" s="32" t="str">
        <f t="shared" si="302"/>
        <v>1-127.477155646958i</v>
      </c>
      <c r="X550" s="18">
        <f t="shared" si="312"/>
        <v>127.48107785800508</v>
      </c>
      <c r="Y550" s="18">
        <f t="shared" si="313"/>
        <v>-1.5629519449258584</v>
      </c>
      <c r="Z550" s="32" t="str">
        <f t="shared" si="303"/>
        <v>-141.535781955973+13.6033547516131i</v>
      </c>
      <c r="AA550" s="18">
        <f t="shared" si="314"/>
        <v>142.18800524090264</v>
      </c>
      <c r="AB550" s="18">
        <f t="shared" si="315"/>
        <v>3.0457744956719761</v>
      </c>
      <c r="AC550" s="69" t="str">
        <f t="shared" si="316"/>
        <v>0.00585305486363094+0.0227286503604557i</v>
      </c>
      <c r="AD550" s="67">
        <f t="shared" si="317"/>
        <v>-32.589668051397858</v>
      </c>
      <c r="AE550" s="64">
        <f t="shared" si="318"/>
        <v>75.559024474381559</v>
      </c>
      <c r="AF550" s="32" t="str">
        <f t="shared" si="304"/>
        <v>-0.0000198412698412698</v>
      </c>
      <c r="AG550" s="32" t="str">
        <f t="shared" si="305"/>
        <v>0.454209242409833i</v>
      </c>
      <c r="AH550" s="32">
        <f t="shared" si="319"/>
        <v>0.45420924240983301</v>
      </c>
      <c r="AI550" s="32">
        <f t="shared" si="320"/>
        <v>1.5707963267948966</v>
      </c>
      <c r="AJ550" s="32" t="str">
        <f t="shared" si="306"/>
        <v>1+157.656697311982i</v>
      </c>
      <c r="AK550" s="32">
        <f t="shared" si="321"/>
        <v>157.65986872797373</v>
      </c>
      <c r="AL550" s="32">
        <f t="shared" si="322"/>
        <v>1.5644535160764326</v>
      </c>
      <c r="AM550" s="32" t="str">
        <f t="shared" si="307"/>
        <v>1+3409.32607937162i</v>
      </c>
      <c r="AN550" s="32">
        <f t="shared" si="323"/>
        <v>3409.3262260281667</v>
      </c>
      <c r="AO550" s="32">
        <f t="shared" si="324"/>
        <v>1.5705030137036751</v>
      </c>
      <c r="AP550" s="61" t="str">
        <f t="shared" si="325"/>
        <v>-5.71449104971824E-06+0.000944610890305996i</v>
      </c>
      <c r="AQ550" s="52">
        <f t="shared" si="326"/>
        <v>-60.49478209881741</v>
      </c>
      <c r="AR550" s="64">
        <f t="shared" si="327"/>
        <v>90.346610682215413</v>
      </c>
      <c r="AS550" s="61" t="str">
        <f t="shared" si="328"/>
        <v>-0.0000215031778820755+5.39897669668726E-06i</v>
      </c>
      <c r="AT550" s="67">
        <f t="shared" si="329"/>
        <v>-93.084450150215261</v>
      </c>
      <c r="AU550" s="64">
        <f t="shared" si="330"/>
        <v>165.90563515659701</v>
      </c>
    </row>
    <row r="551" spans="14:47" x14ac:dyDescent="0.25">
      <c r="N551" s="11">
        <v>33</v>
      </c>
      <c r="O551" s="53">
        <f t="shared" si="298"/>
        <v>2137962.0895022359</v>
      </c>
      <c r="P551" s="51" t="str">
        <f t="shared" si="299"/>
        <v>122.692307692308</v>
      </c>
      <c r="Q551" s="18" t="str">
        <f t="shared" si="300"/>
        <v>1+13769.0422877691i</v>
      </c>
      <c r="R551" s="18">
        <f t="shared" si="308"/>
        <v>13769.042324082446</v>
      </c>
      <c r="S551" s="18">
        <f t="shared" si="309"/>
        <v>1.5707237001025427</v>
      </c>
      <c r="T551" s="18" t="str">
        <f t="shared" si="301"/>
        <v>1+2.75380845755382i</v>
      </c>
      <c r="U551" s="18">
        <f t="shared" si="310"/>
        <v>2.9297544301348788</v>
      </c>
      <c r="V551" s="18">
        <f t="shared" si="311"/>
        <v>1.222469563171684</v>
      </c>
      <c r="W551" s="32" t="str">
        <f t="shared" si="302"/>
        <v>1-130.446480049415i</v>
      </c>
      <c r="X551" s="18">
        <f t="shared" si="312"/>
        <v>130.45031298269245</v>
      </c>
      <c r="Y551" s="18">
        <f t="shared" si="313"/>
        <v>-1.5631304977803233</v>
      </c>
      <c r="Z551" s="32" t="str">
        <f t="shared" si="303"/>
        <v>-148.253286404857+13.9202175888348i</v>
      </c>
      <c r="AA551" s="18">
        <f t="shared" si="314"/>
        <v>148.9053705799796</v>
      </c>
      <c r="AB551" s="18">
        <f t="shared" si="315"/>
        <v>3.0479723030856367</v>
      </c>
      <c r="AC551" s="69" t="str">
        <f t="shared" si="316"/>
        <v>0.00559108828023956+0.0221767660972962i</v>
      </c>
      <c r="AD551" s="67">
        <f t="shared" si="317"/>
        <v>-32.814408330378079</v>
      </c>
      <c r="AE551" s="64">
        <f t="shared" si="318"/>
        <v>75.849778365318272</v>
      </c>
      <c r="AF551" s="32" t="str">
        <f t="shared" si="304"/>
        <v>-0.0000198412698412698</v>
      </c>
      <c r="AG551" s="32" t="str">
        <f t="shared" si="305"/>
        <v>0.464789134787133i</v>
      </c>
      <c r="AH551" s="32">
        <f t="shared" si="319"/>
        <v>0.46478913478713302</v>
      </c>
      <c r="AI551" s="32">
        <f t="shared" si="320"/>
        <v>1.5707963267948966</v>
      </c>
      <c r="AJ551" s="32" t="str">
        <f t="shared" si="306"/>
        <v>1+161.328993545479i</v>
      </c>
      <c r="AK551" s="32">
        <f t="shared" si="321"/>
        <v>161.33209277263219</v>
      </c>
      <c r="AL551" s="32">
        <f t="shared" si="322"/>
        <v>1.5645978923341868</v>
      </c>
      <c r="AM551" s="32" t="str">
        <f t="shared" si="307"/>
        <v>1+3488.73948542098i</v>
      </c>
      <c r="AN551" s="32">
        <f t="shared" si="323"/>
        <v>3488.7396287392166</v>
      </c>
      <c r="AO551" s="32">
        <f t="shared" si="324"/>
        <v>1.5705096903243914</v>
      </c>
      <c r="AP551" s="61" t="str">
        <f t="shared" si="325"/>
        <v>-0.0000054573064668032+0.000923110515489421i</v>
      </c>
      <c r="AQ551" s="52">
        <f t="shared" si="326"/>
        <v>-60.694774251942704</v>
      </c>
      <c r="AR551" s="64">
        <f t="shared" si="327"/>
        <v>90.338721074172639</v>
      </c>
      <c r="AS551" s="61" t="str">
        <f t="shared" si="328"/>
        <v>-0.0000205021182661916+5.04016697548324E-06i</v>
      </c>
      <c r="AT551" s="67">
        <f t="shared" si="329"/>
        <v>-93.50918258232079</v>
      </c>
      <c r="AU551" s="64">
        <f t="shared" si="330"/>
        <v>166.18849943949093</v>
      </c>
    </row>
    <row r="552" spans="14:47" x14ac:dyDescent="0.25">
      <c r="N552" s="11">
        <v>34</v>
      </c>
      <c r="O552" s="53">
        <f t="shared" si="298"/>
        <v>2187761.6239495561</v>
      </c>
      <c r="P552" s="51" t="str">
        <f t="shared" si="299"/>
        <v>122.692307692308</v>
      </c>
      <c r="Q552" s="18" t="str">
        <f t="shared" si="300"/>
        <v>1+14089.7644834915i</v>
      </c>
      <c r="R552" s="18">
        <f t="shared" si="308"/>
        <v>14089.764518978254</v>
      </c>
      <c r="S552" s="18">
        <f t="shared" si="309"/>
        <v>1.5707253532878878</v>
      </c>
      <c r="T552" s="18" t="str">
        <f t="shared" si="301"/>
        <v>1+2.8179528966983i</v>
      </c>
      <c r="U552" s="18">
        <f t="shared" si="310"/>
        <v>2.990126841458459</v>
      </c>
      <c r="V552" s="18">
        <f t="shared" si="311"/>
        <v>1.2297917711746484</v>
      </c>
      <c r="W552" s="32" t="str">
        <f t="shared" si="302"/>
        <v>1-133.484968902258i</v>
      </c>
      <c r="X552" s="18">
        <f t="shared" si="312"/>
        <v>133.48871458979889</v>
      </c>
      <c r="Y552" s="18">
        <f t="shared" si="313"/>
        <v>-1.5633049867479361</v>
      </c>
      <c r="Z552" s="32" t="str">
        <f t="shared" si="303"/>
        <v>-155.287377084943+14.244461109678i</v>
      </c>
      <c r="AA552" s="18">
        <f t="shared" si="314"/>
        <v>155.93932843970569</v>
      </c>
      <c r="AB552" s="18">
        <f t="shared" si="315"/>
        <v>3.0501189657344749</v>
      </c>
      <c r="AC552" s="69" t="str">
        <f t="shared" si="316"/>
        <v>0.00534078172632338+0.021639756167386i</v>
      </c>
      <c r="AD552" s="67">
        <f t="shared" si="317"/>
        <v>-33.038157934071123</v>
      </c>
      <c r="AE552" s="64">
        <f t="shared" si="318"/>
        <v>76.136223068829437</v>
      </c>
      <c r="AF552" s="32" t="str">
        <f t="shared" si="304"/>
        <v>-0.0000198412698412698</v>
      </c>
      <c r="AG552" s="32" t="str">
        <f t="shared" si="305"/>
        <v>0.475615464515908i</v>
      </c>
      <c r="AH552" s="32">
        <f t="shared" si="319"/>
        <v>0.47561546451590803</v>
      </c>
      <c r="AI552" s="32">
        <f t="shared" si="320"/>
        <v>1.5707963267948966</v>
      </c>
      <c r="AJ552" s="32" t="str">
        <f t="shared" si="306"/>
        <v>1+165.086828546796i</v>
      </c>
      <c r="AK552" s="32">
        <f t="shared" si="321"/>
        <v>165.08985722823562</v>
      </c>
      <c r="AL552" s="32">
        <f t="shared" si="322"/>
        <v>1.5647389824367848</v>
      </c>
      <c r="AM552" s="32" t="str">
        <f t="shared" si="307"/>
        <v>1+3570.00266732446i</v>
      </c>
      <c r="AN552" s="32">
        <f t="shared" si="323"/>
        <v>3570.0028073803755</v>
      </c>
      <c r="AO552" s="32">
        <f t="shared" si="324"/>
        <v>1.5705162149666902</v>
      </c>
      <c r="AP552" s="61" t="str">
        <f t="shared" si="325"/>
        <v>-5.21169622745295E-06+0.00090209944255596i</v>
      </c>
      <c r="AQ552" s="52">
        <f t="shared" si="326"/>
        <v>-60.894766758222225</v>
      </c>
      <c r="AR552" s="64">
        <f t="shared" si="327"/>
        <v>90.331011041229274</v>
      </c>
      <c r="AS552" s="61" t="str">
        <f t="shared" si="328"/>
        <v>-0.0000195490465076205+4.70513638254881E-06i</v>
      </c>
      <c r="AT552" s="67">
        <f t="shared" si="329"/>
        <v>-93.932924692293369</v>
      </c>
      <c r="AU552" s="64">
        <f t="shared" si="330"/>
        <v>166.46723411005871</v>
      </c>
    </row>
    <row r="553" spans="14:47" x14ac:dyDescent="0.25">
      <c r="N553" s="11">
        <v>35</v>
      </c>
      <c r="O553" s="53">
        <f t="shared" si="298"/>
        <v>2238721.1385683389</v>
      </c>
      <c r="P553" s="51" t="str">
        <f t="shared" si="299"/>
        <v>122.692307692308</v>
      </c>
      <c r="Q553" s="18" t="str">
        <f t="shared" si="300"/>
        <v>1+14417.957258843i</v>
      </c>
      <c r="R553" s="18">
        <f t="shared" si="308"/>
        <v>14417.957293521975</v>
      </c>
      <c r="S553" s="18">
        <f t="shared" si="309"/>
        <v>1.5707269688421406</v>
      </c>
      <c r="T553" s="18" t="str">
        <f t="shared" si="301"/>
        <v>1+2.88359145176861i</v>
      </c>
      <c r="U553" s="18">
        <f t="shared" si="310"/>
        <v>3.0520648192187863</v>
      </c>
      <c r="V553" s="18">
        <f t="shared" si="311"/>
        <v>1.2369842632537575</v>
      </c>
      <c r="W553" s="32" t="str">
        <f t="shared" si="302"/>
        <v>1-136.594233252494i</v>
      </c>
      <c r="X553" s="18">
        <f t="shared" si="312"/>
        <v>136.59789368008842</v>
      </c>
      <c r="Y553" s="18">
        <f t="shared" si="313"/>
        <v>-1.5634755043025319</v>
      </c>
      <c r="Z553" s="32" t="str">
        <f t="shared" si="303"/>
        <v>-162.652974245639+14.5762572323491i</v>
      </c>
      <c r="AA553" s="18">
        <f t="shared" si="314"/>
        <v>163.3047987839185</v>
      </c>
      <c r="AB553" s="18">
        <f t="shared" si="315"/>
        <v>3.0522157224012227</v>
      </c>
      <c r="AC553" s="69" t="str">
        <f t="shared" si="316"/>
        <v>0.00510162209124887+0.0211171268153152i</v>
      </c>
      <c r="AD553" s="67">
        <f t="shared" si="317"/>
        <v>-33.260951821571872</v>
      </c>
      <c r="AE553" s="64">
        <f t="shared" si="318"/>
        <v>76.418324700821657</v>
      </c>
      <c r="AF553" s="32" t="str">
        <f t="shared" si="304"/>
        <v>-0.0000198412698412698</v>
      </c>
      <c r="AG553" s="32" t="str">
        <f t="shared" si="305"/>
        <v>0.486693971859483i</v>
      </c>
      <c r="AH553" s="32">
        <f t="shared" si="319"/>
        <v>0.48669397185948299</v>
      </c>
      <c r="AI553" s="32">
        <f t="shared" si="320"/>
        <v>1.5707963267948966</v>
      </c>
      <c r="AJ553" s="32" t="str">
        <f t="shared" si="306"/>
        <v>1+168.93219476979i</v>
      </c>
      <c r="AK553" s="32">
        <f t="shared" si="321"/>
        <v>168.93515451124512</v>
      </c>
      <c r="AL553" s="32">
        <f t="shared" si="322"/>
        <v>1.5648768611695847</v>
      </c>
      <c r="AM553" s="32" t="str">
        <f t="shared" si="307"/>
        <v>1+3653.1587118967i</v>
      </c>
      <c r="AN553" s="32">
        <f t="shared" si="323"/>
        <v>3653.1588487645536</v>
      </c>
      <c r="AO553" s="32">
        <f t="shared" si="324"/>
        <v>1.5705225910900211</v>
      </c>
      <c r="AP553" s="61" t="str">
        <f t="shared" si="325"/>
        <v>-0.0000049771394768912+0.000881566540736014i</v>
      </c>
      <c r="AQ553" s="52">
        <f t="shared" si="326"/>
        <v>-61.094759601762576</v>
      </c>
      <c r="AR553" s="64">
        <f t="shared" si="327"/>
        <v>90.323476496711734</v>
      </c>
      <c r="AS553" s="61" t="str">
        <f t="shared" si="328"/>
        <v>-0.0000186415439215677+4.39231645361367E-06i</v>
      </c>
      <c r="AT553" s="67">
        <f t="shared" si="329"/>
        <v>-94.355711423334441</v>
      </c>
      <c r="AU553" s="64">
        <f t="shared" si="330"/>
        <v>166.74180119753342</v>
      </c>
    </row>
    <row r="554" spans="14:47" x14ac:dyDescent="0.25">
      <c r="N554" s="11">
        <v>36</v>
      </c>
      <c r="O554" s="53">
        <f t="shared" si="298"/>
        <v>2290867.6527677765</v>
      </c>
      <c r="P554" s="51" t="str">
        <f t="shared" si="299"/>
        <v>122.692307692308</v>
      </c>
      <c r="Q554" s="18" t="str">
        <f t="shared" si="300"/>
        <v>1+14753.7946259776i</v>
      </c>
      <c r="R554" s="18">
        <f t="shared" si="308"/>
        <v>14753.794659867186</v>
      </c>
      <c r="S554" s="18">
        <f t="shared" si="309"/>
        <v>1.5707285476218893</v>
      </c>
      <c r="T554" s="18" t="str">
        <f t="shared" si="301"/>
        <v>1+2.95075892519552i</v>
      </c>
      <c r="U554" s="18">
        <f t="shared" si="310"/>
        <v>3.1156023871189054</v>
      </c>
      <c r="V554" s="18">
        <f t="shared" si="311"/>
        <v>1.2440478753711808</v>
      </c>
      <c r="W554" s="32" t="str">
        <f t="shared" si="302"/>
        <v>1-139.775921673241i</v>
      </c>
      <c r="X554" s="18">
        <f t="shared" si="312"/>
        <v>139.779498781488</v>
      </c>
      <c r="Y554" s="18">
        <f t="shared" si="313"/>
        <v>-1.5636421408150887</v>
      </c>
      <c r="Z554" s="32" t="str">
        <f t="shared" si="303"/>
        <v>-170.365701306049+14.9157818795446i</v>
      </c>
      <c r="AA554" s="18">
        <f t="shared" si="314"/>
        <v>171.01740475922344</v>
      </c>
      <c r="AB554" s="18">
        <f t="shared" si="315"/>
        <v>3.0542637786861193</v>
      </c>
      <c r="AC554" s="69" t="str">
        <f t="shared" si="316"/>
        <v>0.00487311830453226+0.0206084059743428i</v>
      </c>
      <c r="AD554" s="67">
        <f t="shared" si="317"/>
        <v>-33.482824089737321</v>
      </c>
      <c r="AE554" s="64">
        <f t="shared" si="318"/>
        <v>76.696056855639014</v>
      </c>
      <c r="AF554" s="32" t="str">
        <f t="shared" si="304"/>
        <v>-0.0000198412698412698</v>
      </c>
      <c r="AG554" s="32" t="str">
        <f t="shared" si="305"/>
        <v>0.498030530789096i</v>
      </c>
      <c r="AH554" s="32">
        <f t="shared" si="319"/>
        <v>0.49803053078909598</v>
      </c>
      <c r="AI554" s="32">
        <f t="shared" si="320"/>
        <v>1.5707963267948966</v>
      </c>
      <c r="AJ554" s="32" t="str">
        <f t="shared" si="306"/>
        <v>1+172.867131078534i</v>
      </c>
      <c r="AK554" s="32">
        <f t="shared" si="321"/>
        <v>172.87002344918869</v>
      </c>
      <c r="AL554" s="32">
        <f t="shared" si="322"/>
        <v>1.5650116016167344</v>
      </c>
      <c r="AM554" s="32" t="str">
        <f t="shared" si="307"/>
        <v>1+3738.25170957331i</v>
      </c>
      <c r="AN554" s="32">
        <f t="shared" si="323"/>
        <v>3738.2518433256705</v>
      </c>
      <c r="AO554" s="32">
        <f t="shared" si="324"/>
        <v>1.570528822075087</v>
      </c>
      <c r="AP554" s="61" t="str">
        <f t="shared" si="325"/>
        <v>-4.75313879593789E-06+0.000861500932153326i</v>
      </c>
      <c r="AQ554" s="52">
        <f t="shared" si="326"/>
        <v>-61.294752767385603</v>
      </c>
      <c r="AR554" s="64">
        <f t="shared" si="327"/>
        <v>90.316113446906826</v>
      </c>
      <c r="AS554" s="61" t="str">
        <f t="shared" si="328"/>
        <v>-0.000017777323564761+4.10024134788889E-06i</v>
      </c>
      <c r="AT554" s="67">
        <f t="shared" si="329"/>
        <v>-94.777576857122909</v>
      </c>
      <c r="AU554" s="64">
        <f t="shared" si="330"/>
        <v>167.01217030254588</v>
      </c>
    </row>
    <row r="555" spans="14:47" x14ac:dyDescent="0.25">
      <c r="N555" s="11">
        <v>37</v>
      </c>
      <c r="O555" s="53">
        <f t="shared" si="298"/>
        <v>2344228.8153199251</v>
      </c>
      <c r="P555" s="51" t="str">
        <f t="shared" si="299"/>
        <v>122.692307692308</v>
      </c>
      <c r="Q555" s="18" t="str">
        <f t="shared" si="300"/>
        <v>1+15097.4546503123i</v>
      </c>
      <c r="R555" s="18">
        <f t="shared" si="308"/>
        <v>15097.454683430466</v>
      </c>
      <c r="S555" s="18">
        <f t="shared" si="309"/>
        <v>1.5707300904642236</v>
      </c>
      <c r="T555" s="18" t="str">
        <f t="shared" si="301"/>
        <v>1+3.01949093006247i</v>
      </c>
      <c r="U555" s="18">
        <f t="shared" si="310"/>
        <v>3.1807743517466811</v>
      </c>
      <c r="V555" s="18">
        <f t="shared" si="311"/>
        <v>1.2509835323418805</v>
      </c>
      <c r="W555" s="32" t="str">
        <f t="shared" si="302"/>
        <v>1-143.031721137811i</v>
      </c>
      <c r="X555" s="18">
        <f t="shared" si="312"/>
        <v>143.03521682314647</v>
      </c>
      <c r="Y555" s="18">
        <f t="shared" si="313"/>
        <v>-1.5638049846014528</v>
      </c>
      <c r="Z555" s="32" t="str">
        <f t="shared" si="303"/>
        <v>-178.441917994327+15.2632150717263i</v>
      </c>
      <c r="AA555" s="18">
        <f t="shared" si="314"/>
        <v>179.0935058337401</v>
      </c>
      <c r="AB555" s="18">
        <f t="shared" si="315"/>
        <v>3.0562643080955132</v>
      </c>
      <c r="AC555" s="69" t="str">
        <f t="shared" si="316"/>
        <v>0.00465480043996049+0.0201131420654835i</v>
      </c>
      <c r="AD555" s="67">
        <f t="shared" si="317"/>
        <v>-33.703807964550442</v>
      </c>
      <c r="AE555" s="64">
        <f t="shared" si="318"/>
        <v>76.969400176227765</v>
      </c>
      <c r="AF555" s="32" t="str">
        <f t="shared" si="304"/>
        <v>-0.0000198412698412698</v>
      </c>
      <c r="AG555" s="32" t="str">
        <f t="shared" si="305"/>
        <v>0.509631152098347i</v>
      </c>
      <c r="AH555" s="32">
        <f t="shared" si="319"/>
        <v>0.50963115209834697</v>
      </c>
      <c r="AI555" s="32">
        <f t="shared" si="320"/>
        <v>1.5707963267948966</v>
      </c>
      <c r="AJ555" s="32" t="str">
        <f t="shared" si="306"/>
        <v>1+176.893723828343i</v>
      </c>
      <c r="AK555" s="32">
        <f t="shared" si="321"/>
        <v>176.89655036166783</v>
      </c>
      <c r="AL555" s="32">
        <f t="shared" si="322"/>
        <v>1.5651432751998218</v>
      </c>
      <c r="AM555" s="32" t="str">
        <f t="shared" si="307"/>
        <v>1+3825.32677778792i</v>
      </c>
      <c r="AN555" s="32">
        <f t="shared" si="323"/>
        <v>3825.3269084957055</v>
      </c>
      <c r="AO555" s="32">
        <f t="shared" si="324"/>
        <v>1.5705349112256366</v>
      </c>
      <c r="AP555" s="61" t="str">
        <f t="shared" si="325"/>
        <v>-4.53921914682574E-06+0.000841891986100048i</v>
      </c>
      <c r="AQ555" s="52">
        <f t="shared" si="326"/>
        <v>-61.49474624059625</v>
      </c>
      <c r="AR555" s="64">
        <f t="shared" si="327"/>
        <v>90.308917988949872</v>
      </c>
      <c r="AS555" s="61" t="str">
        <f t="shared" si="328"/>
        <v>-0.000016954222279504+3.82754122773125E-06i</v>
      </c>
      <c r="AT555" s="67">
        <f t="shared" si="329"/>
        <v>-95.198554205146721</v>
      </c>
      <c r="AU555" s="64">
        <f t="shared" si="330"/>
        <v>167.27831816517761</v>
      </c>
    </row>
    <row r="556" spans="14:47" x14ac:dyDescent="0.25">
      <c r="N556" s="11">
        <v>38</v>
      </c>
      <c r="O556" s="53">
        <f t="shared" si="298"/>
        <v>2398832.9190194933</v>
      </c>
      <c r="P556" s="51" t="str">
        <f t="shared" si="299"/>
        <v>122.692307692308</v>
      </c>
      <c r="Q556" s="18" t="str">
        <f t="shared" si="300"/>
        <v>1+15449.119544941i</v>
      </c>
      <c r="R556" s="18">
        <f t="shared" si="308"/>
        <v>15449.119577305304</v>
      </c>
      <c r="S556" s="18">
        <f t="shared" si="309"/>
        <v>1.5707315981871792</v>
      </c>
      <c r="T556" s="18" t="str">
        <f t="shared" si="301"/>
        <v>1+3.08982390898821i</v>
      </c>
      <c r="U556" s="18">
        <f t="shared" si="310"/>
        <v>3.2476163240991358</v>
      </c>
      <c r="V556" s="18">
        <f t="shared" si="311"/>
        <v>1.2577922416260072</v>
      </c>
      <c r="W556" s="32" t="str">
        <f t="shared" si="302"/>
        <v>1-146.363357914177i</v>
      </c>
      <c r="X556" s="18">
        <f t="shared" si="312"/>
        <v>146.36677402987837</v>
      </c>
      <c r="Y556" s="18">
        <f t="shared" si="313"/>
        <v>-1.5639641219689888</v>
      </c>
      <c r="Z556" s="32" t="str">
        <f t="shared" si="303"/>
        <v>-186.898755048867+15.6187410225714i</v>
      </c>
      <c r="AA556" s="18">
        <f t="shared" si="314"/>
        <v>187.55023249771392</v>
      </c>
      <c r="AB556" s="18">
        <f t="shared" si="315"/>
        <v>3.0582184530833851</v>
      </c>
      <c r="AC556" s="69" t="str">
        <f t="shared" si="316"/>
        <v>0.00444621885114028+0.0196309028721553i</v>
      </c>
      <c r="AD556" s="67">
        <f t="shared" si="317"/>
        <v>-33.923935795451747</v>
      </c>
      <c r="AE556" s="64">
        <f t="shared" si="318"/>
        <v>77.23834193609332</v>
      </c>
      <c r="AF556" s="32" t="str">
        <f t="shared" si="304"/>
        <v>-0.0000198412698412698</v>
      </c>
      <c r="AG556" s="32" t="str">
        <f t="shared" si="305"/>
        <v>0.521501986590205i</v>
      </c>
      <c r="AH556" s="32">
        <f t="shared" si="319"/>
        <v>0.52150198659020497</v>
      </c>
      <c r="AI556" s="32">
        <f t="shared" si="320"/>
        <v>1.5707963267948966</v>
      </c>
      <c r="AJ556" s="32" t="str">
        <f t="shared" si="306"/>
        <v>1+181.01410797199i</v>
      </c>
      <c r="AK556" s="32">
        <f t="shared" si="321"/>
        <v>181.01687016655453</v>
      </c>
      <c r="AL556" s="32">
        <f t="shared" si="322"/>
        <v>1.5652719517156495</v>
      </c>
      <c r="AM556" s="32" t="str">
        <f t="shared" si="307"/>
        <v>1+3914.43008489428i</v>
      </c>
      <c r="AN556" s="32">
        <f t="shared" si="323"/>
        <v>3914.4302126267935</v>
      </c>
      <c r="AO556" s="32">
        <f t="shared" si="324"/>
        <v>1.5705408617702166</v>
      </c>
      <c r="AP556" s="61" t="str">
        <f t="shared" si="325"/>
        <v>-0.0000043349268664109+0.000822729313440044i</v>
      </c>
      <c r="AQ556" s="52">
        <f t="shared" si="326"/>
        <v>-61.694740007551559</v>
      </c>
      <c r="AR556" s="64">
        <f t="shared" si="327"/>
        <v>90.301886308760743</v>
      </c>
      <c r="AS556" s="61" t="str">
        <f t="shared" si="328"/>
        <v>-0.0000161701932757683+3.57293605453041E-06i</v>
      </c>
      <c r="AT556" s="67">
        <f t="shared" si="329"/>
        <v>-95.618675803003299</v>
      </c>
      <c r="AU556" s="64">
        <f t="shared" si="330"/>
        <v>167.54022824485412</v>
      </c>
    </row>
    <row r="557" spans="14:47" x14ac:dyDescent="0.25">
      <c r="N557" s="11">
        <v>39</v>
      </c>
      <c r="O557" s="53">
        <f t="shared" si="298"/>
        <v>2454708.915685033</v>
      </c>
      <c r="P557" s="51" t="str">
        <f t="shared" si="299"/>
        <v>122.692307692308</v>
      </c>
      <c r="Q557" s="18" t="str">
        <f t="shared" si="300"/>
        <v>1+15808.9757672458i</v>
      </c>
      <c r="R557" s="18">
        <f t="shared" si="308"/>
        <v>15808.9757988734</v>
      </c>
      <c r="S557" s="18">
        <f t="shared" si="309"/>
        <v>1.5707330715901706</v>
      </c>
      <c r="T557" s="18" t="str">
        <f t="shared" si="301"/>
        <v>1+3.16179515344916i</v>
      </c>
      <c r="U557" s="18">
        <f t="shared" si="310"/>
        <v>3.3161647414407205</v>
      </c>
      <c r="V557" s="18">
        <f t="shared" si="311"/>
        <v>1.264475087292759</v>
      </c>
      <c r="W557" s="32" t="str">
        <f t="shared" si="302"/>
        <v>1-149.772598480257i</v>
      </c>
      <c r="X557" s="18">
        <f t="shared" si="312"/>
        <v>149.77593683742484</v>
      </c>
      <c r="Y557" s="18">
        <f t="shared" si="313"/>
        <v>-1.5641196372621762</v>
      </c>
      <c r="Z557" s="32" t="str">
        <f t="shared" si="303"/>
        <v>-195.754150554891+15.9825482366452i</v>
      </c>
      <c r="AA557" s="18">
        <f t="shared" si="314"/>
        <v>196.40552259955325</v>
      </c>
      <c r="AB557" s="18">
        <f t="shared" si="315"/>
        <v>3.0601273260483577</v>
      </c>
      <c r="AC557" s="69" t="str">
        <f t="shared" si="316"/>
        <v>0.00424694333790087+0.0191612744853463i</v>
      </c>
      <c r="AD557" s="67">
        <f t="shared" si="317"/>
        <v>-34.143239052432428</v>
      </c>
      <c r="AE557" s="64">
        <f t="shared" si="318"/>
        <v>77.502875633693591</v>
      </c>
      <c r="AF557" s="32" t="str">
        <f t="shared" si="304"/>
        <v>-0.0000198412698412698</v>
      </c>
      <c r="AG557" s="32" t="str">
        <f t="shared" si="305"/>
        <v>0.533649328338249i</v>
      </c>
      <c r="AH557" s="32">
        <f t="shared" si="319"/>
        <v>0.53364932833824896</v>
      </c>
      <c r="AI557" s="32">
        <f t="shared" si="320"/>
        <v>1.5707963267948966</v>
      </c>
      <c r="AJ557" s="32" t="str">
        <f t="shared" si="306"/>
        <v>1+185.230468191689i</v>
      </c>
      <c r="AK557" s="32">
        <f t="shared" si="321"/>
        <v>185.23316751195588</v>
      </c>
      <c r="AL557" s="32">
        <f t="shared" si="322"/>
        <v>1.5653976993731544</v>
      </c>
      <c r="AM557" s="32" t="str">
        <f t="shared" si="307"/>
        <v>1+4005.60887464527i</v>
      </c>
      <c r="AN557" s="32">
        <f t="shared" si="323"/>
        <v>4005.6089994702361</v>
      </c>
      <c r="AO557" s="32">
        <f t="shared" si="324"/>
        <v>1.5705466768638825</v>
      </c>
      <c r="AP557" s="61" t="str">
        <f t="shared" si="325"/>
        <v>-4.13982870464868E-06+0.000804002761137548i</v>
      </c>
      <c r="AQ557" s="52">
        <f t="shared" si="326"/>
        <v>-61.894734055031734</v>
      </c>
      <c r="AR557" s="64">
        <f t="shared" si="327"/>
        <v>90.295014679026565</v>
      </c>
      <c r="AS557" s="61" t="str">
        <f t="shared" si="328"/>
        <v>-0.0000154232992110701+3.33522977593493E-06i</v>
      </c>
      <c r="AT557" s="67">
        <f t="shared" si="329"/>
        <v>-96.037973107464182</v>
      </c>
      <c r="AU557" s="64">
        <f t="shared" si="330"/>
        <v>167.79789031272011</v>
      </c>
    </row>
    <row r="558" spans="14:47" x14ac:dyDescent="0.25">
      <c r="N558" s="11">
        <v>40</v>
      </c>
      <c r="O558" s="53">
        <f t="shared" si="298"/>
        <v>2511886.431509587</v>
      </c>
      <c r="P558" s="51" t="str">
        <f t="shared" si="299"/>
        <v>122.692307692308</v>
      </c>
      <c r="Q558" s="18" t="str">
        <f t="shared" si="300"/>
        <v>1+16177.2141177589i</v>
      </c>
      <c r="R558" s="18">
        <f t="shared" si="308"/>
        <v>16177.21414866657</v>
      </c>
      <c r="S558" s="18">
        <f t="shared" si="309"/>
        <v>1.5707345114544153</v>
      </c>
      <c r="T558" s="18" t="str">
        <f t="shared" si="301"/>
        <v>1+3.23544282355179i</v>
      </c>
      <c r="U558" s="18">
        <f t="shared" si="310"/>
        <v>3.3864568895045424</v>
      </c>
      <c r="V558" s="18">
        <f t="shared" si="311"/>
        <v>1.271033224167297</v>
      </c>
      <c r="W558" s="32" t="str">
        <f t="shared" si="302"/>
        <v>1-153.261250460526i</v>
      </c>
      <c r="X558" s="18">
        <f t="shared" si="312"/>
        <v>153.26451282904364</v>
      </c>
      <c r="Y558" s="18">
        <f t="shared" si="313"/>
        <v>-1.5642716129071756</v>
      </c>
      <c r="Z558" s="32" t="str">
        <f t="shared" si="303"/>
        <v>-205.026887993533+16.3548296093483i</v>
      </c>
      <c r="AA558" s="18">
        <f t="shared" si="314"/>
        <v>205.67815939438864</v>
      </c>
      <c r="AB558" s="18">
        <f t="shared" si="315"/>
        <v>3.0619920102885949</v>
      </c>
      <c r="AC558" s="69" t="str">
        <f t="shared" si="316"/>
        <v>0.00405656234292001+0.018703860314604i</v>
      </c>
      <c r="AD558" s="67">
        <f t="shared" si="317"/>
        <v>-34.361748325685902</v>
      </c>
      <c r="AE558" s="64">
        <f t="shared" si="318"/>
        <v>77.763000599792065</v>
      </c>
      <c r="AF558" s="32" t="str">
        <f t="shared" si="304"/>
        <v>-0.0000198412698412698</v>
      </c>
      <c r="AG558" s="32" t="str">
        <f t="shared" si="305"/>
        <v>0.546079618023862i</v>
      </c>
      <c r="AH558" s="32">
        <f t="shared" si="319"/>
        <v>0.54607961802386196</v>
      </c>
      <c r="AI558" s="32">
        <f t="shared" si="320"/>
        <v>1.5707963267948966</v>
      </c>
      <c r="AJ558" s="32" t="str">
        <f t="shared" si="306"/>
        <v>1+189.545040057439i</v>
      </c>
      <c r="AK558" s="32">
        <f t="shared" si="321"/>
        <v>189.54767793454013</v>
      </c>
      <c r="AL558" s="32">
        <f t="shared" si="322"/>
        <v>1.5655205848294935</v>
      </c>
      <c r="AM558" s="32" t="str">
        <f t="shared" si="307"/>
        <v>1+4098.91149124212i</v>
      </c>
      <c r="AN558" s="32">
        <f t="shared" si="323"/>
        <v>4098.9116132257232</v>
      </c>
      <c r="AO558" s="32">
        <f t="shared" si="324"/>
        <v>1.5705523595898725</v>
      </c>
      <c r="AP558" s="61" t="str">
        <f t="shared" si="325"/>
        <v>-3.95351090630217E-06+0.000785702406908603i</v>
      </c>
      <c r="AQ558" s="52">
        <f t="shared" si="326"/>
        <v>-62.094728370411772</v>
      </c>
      <c r="AR558" s="64">
        <f t="shared" si="327"/>
        <v>90.288299457230153</v>
      </c>
      <c r="AS558" s="61" t="str">
        <f t="shared" si="328"/>
        <v>-0.0000147117057311315+3.11330488086331E-06i</v>
      </c>
      <c r="AT558" s="67">
        <f t="shared" si="329"/>
        <v>-96.456476696097667</v>
      </c>
      <c r="AU558" s="64">
        <f t="shared" si="330"/>
        <v>168.05130005702225</v>
      </c>
    </row>
    <row r="559" spans="14:47" x14ac:dyDescent="0.25">
      <c r="N559" s="11">
        <v>41</v>
      </c>
      <c r="O559" s="53">
        <f t="shared" si="298"/>
        <v>2570395.782768866</v>
      </c>
      <c r="P559" s="51" t="str">
        <f t="shared" si="299"/>
        <v>122.692307692308</v>
      </c>
      <c r="Q559" s="18" t="str">
        <f t="shared" si="300"/>
        <v>1+16554.0298413279i</v>
      </c>
      <c r="R559" s="18">
        <f t="shared" si="308"/>
        <v>16554.029871532024</v>
      </c>
      <c r="S559" s="18">
        <f t="shared" si="309"/>
        <v>1.5707359185433489</v>
      </c>
      <c r="T559" s="18" t="str">
        <f t="shared" si="301"/>
        <v>1+3.31080596826559i</v>
      </c>
      <c r="U559" s="18">
        <f t="shared" si="310"/>
        <v>3.4585309250465079</v>
      </c>
      <c r="V559" s="18">
        <f t="shared" si="311"/>
        <v>1.2774678721702009</v>
      </c>
      <c r="W559" s="32" t="str">
        <f t="shared" si="302"/>
        <v>1-156.831163584442i</v>
      </c>
      <c r="X559" s="18">
        <f t="shared" si="312"/>
        <v>156.83435169391305</v>
      </c>
      <c r="Y559" s="18">
        <f t="shared" si="313"/>
        <v>-1.5644201294553883</v>
      </c>
      <c r="Z559" s="32" t="str">
        <f t="shared" si="303"/>
        <v>-214.736636084112+16.7357825291918i</v>
      </c>
      <c r="AA559" s="18">
        <f t="shared" si="314"/>
        <v>215.38781138584596</v>
      </c>
      <c r="AB559" s="18">
        <f t="shared" si="315"/>
        <v>3.0638135609168544</v>
      </c>
      <c r="AC559" s="69" t="str">
        <f t="shared" si="316"/>
        <v>0.00387468217789654+0.0182582801604703i</v>
      </c>
      <c r="AD559" s="67">
        <f t="shared" si="317"/>
        <v>-34.579493327619971</v>
      </c>
      <c r="AE559" s="64">
        <f t="shared" si="318"/>
        <v>78.018721618184358</v>
      </c>
      <c r="AF559" s="32" t="str">
        <f t="shared" si="304"/>
        <v>-0.0000198412698412698</v>
      </c>
      <c r="AG559" s="32" t="str">
        <f t="shared" si="305"/>
        <v>0.558799446351168i</v>
      </c>
      <c r="AH559" s="32">
        <f t="shared" si="319"/>
        <v>0.55879944635116796</v>
      </c>
      <c r="AI559" s="32">
        <f t="shared" si="320"/>
        <v>1.5707963267948966</v>
      </c>
      <c r="AJ559" s="32" t="str">
        <f t="shared" si="306"/>
        <v>1+193.960111212352i</v>
      </c>
      <c r="AK559" s="32">
        <f t="shared" si="321"/>
        <v>193.96268904484683</v>
      </c>
      <c r="AL559" s="32">
        <f t="shared" si="322"/>
        <v>1.5656406732253083</v>
      </c>
      <c r="AM559" s="32" t="str">
        <f t="shared" si="307"/>
        <v>1+4194.3874049671i</v>
      </c>
      <c r="AN559" s="32">
        <f t="shared" si="323"/>
        <v>4194.3875241740179</v>
      </c>
      <c r="AO559" s="32">
        <f t="shared" si="324"/>
        <v>1.5705579129612415</v>
      </c>
      <c r="AP559" s="61" t="str">
        <f t="shared" si="325"/>
        <v>-3.77557833394096E-06+0.000767818553992487i</v>
      </c>
      <c r="AQ559" s="52">
        <f t="shared" si="326"/>
        <v>-62.294722941634852</v>
      </c>
      <c r="AR559" s="64">
        <f t="shared" si="327"/>
        <v>90.281737083722987</v>
      </c>
      <c r="AS559" s="61" t="str">
        <f t="shared" si="328"/>
        <v>-0.0000140336754372838+2.90611730002409E-06i</v>
      </c>
      <c r="AT559" s="67">
        <f t="shared" si="329"/>
        <v>-96.874216269254816</v>
      </c>
      <c r="AU559" s="64">
        <f t="shared" si="330"/>
        <v>168.30045870190733</v>
      </c>
    </row>
    <row r="560" spans="14:47" ht="15.75" thickBot="1" x14ac:dyDescent="0.3">
      <c r="N560" s="11">
        <v>42</v>
      </c>
      <c r="O560" s="53">
        <f t="shared" si="298"/>
        <v>2630267.9918953842</v>
      </c>
      <c r="P560" s="51" t="str">
        <f t="shared" si="299"/>
        <v>122.692307692308</v>
      </c>
      <c r="Q560" s="18" t="str">
        <f t="shared" si="300"/>
        <v>1+16939.6227306373i</v>
      </c>
      <c r="R560" s="18">
        <f t="shared" si="308"/>
        <v>16939.622760153896</v>
      </c>
      <c r="S560" s="18">
        <f t="shared" si="309"/>
        <v>1.5707372936030282</v>
      </c>
      <c r="T560" s="18" t="str">
        <f t="shared" si="301"/>
        <v>1+3.38792454612747i</v>
      </c>
      <c r="U560" s="18">
        <f t="shared" si="310"/>
        <v>3.5324258987632029</v>
      </c>
      <c r="V560" s="18">
        <f t="shared" si="311"/>
        <v>1.2837803108569861</v>
      </c>
      <c r="W560" s="32" t="str">
        <f t="shared" si="302"/>
        <v>1-160.484230667196i</v>
      </c>
      <c r="X560" s="18">
        <f t="shared" si="312"/>
        <v>160.48734620786081</v>
      </c>
      <c r="Y560" s="18">
        <f t="shared" si="313"/>
        <v>-1.5645652656260325</v>
      </c>
      <c r="Z560" s="32" t="str">
        <f t="shared" si="303"/>
        <v>-224.903990504142+17.1256089824566i</v>
      </c>
      <c r="AA560" s="18">
        <f t="shared" si="314"/>
        <v>225.55507404558028</v>
      </c>
      <c r="AB560" s="18">
        <f t="shared" si="315"/>
        <v>3.06559300573781</v>
      </c>
      <c r="AC560" s="62" t="str">
        <f t="shared" si="316"/>
        <v>0.00370092627855903+0.0178241693442895i</v>
      </c>
      <c r="AD560" s="68">
        <f t="shared" si="317"/>
        <v>-34.796502897034919</v>
      </c>
      <c r="AE560" s="66">
        <f t="shared" si="318"/>
        <v>78.27004856010636</v>
      </c>
      <c r="AF560" s="32" t="str">
        <f t="shared" si="304"/>
        <v>-0.0000198412698412698</v>
      </c>
      <c r="AG560" s="32" t="str">
        <f t="shared" si="305"/>
        <v>0.571815557541515i</v>
      </c>
      <c r="AH560" s="32">
        <f t="shared" si="319"/>
        <v>0.57181555754151503</v>
      </c>
      <c r="AI560" s="32">
        <f t="shared" si="320"/>
        <v>1.5707963267948966</v>
      </c>
      <c r="AJ560" s="32" t="str">
        <f t="shared" si="306"/>
        <v>1+198.478022585595i</v>
      </c>
      <c r="AK560" s="32">
        <f t="shared" si="321"/>
        <v>198.48054174021181</v>
      </c>
      <c r="AL560" s="32">
        <f t="shared" si="322"/>
        <v>1.565758028219193</v>
      </c>
      <c r="AM560" s="32" t="str">
        <f t="shared" si="307"/>
        <v>1+4292.08723841349i</v>
      </c>
      <c r="AN560" s="32">
        <f t="shared" si="323"/>
        <v>4292.0873549069265</v>
      </c>
      <c r="AO560" s="32">
        <f t="shared" si="324"/>
        <v>1.5705633399224594</v>
      </c>
      <c r="AP560" s="65" t="str">
        <f t="shared" si="325"/>
        <v>-3.60565363037539E-06+0.000750341726040566i</v>
      </c>
      <c r="AQ560" s="58">
        <f t="shared" si="326"/>
        <v>-62.494717757186777</v>
      </c>
      <c r="AR560" s="66">
        <f t="shared" si="327"/>
        <v>90.275324079841994</v>
      </c>
      <c r="AS560" s="65" t="str">
        <f t="shared" si="328"/>
        <v>-0.0000133875622493056+2.71269163089821E-06i</v>
      </c>
      <c r="AT560" s="68">
        <f t="shared" si="329"/>
        <v>-97.291220654221675</v>
      </c>
      <c r="AU560" s="66">
        <f t="shared" si="330"/>
        <v>168.54537263994837</v>
      </c>
    </row>
    <row r="561" spans="14:31" x14ac:dyDescent="0.25">
      <c r="N561" s="11"/>
      <c r="P561" s="51"/>
      <c r="Q561" s="18"/>
      <c r="R561" s="18"/>
      <c r="S561" s="18"/>
      <c r="T561" s="18"/>
      <c r="U561" s="18"/>
      <c r="V561" s="18"/>
      <c r="W561" s="32"/>
      <c r="X561" s="18"/>
      <c r="Y561" s="18"/>
      <c r="Z561" s="32"/>
      <c r="AA561" s="18"/>
      <c r="AB561" s="18"/>
      <c r="AC561" s="18"/>
      <c r="AD561" s="33"/>
      <c r="AE561" s="32"/>
    </row>
    <row r="562" spans="14:31" x14ac:dyDescent="0.25">
      <c r="N562" s="11"/>
      <c r="P562" s="51"/>
      <c r="Q562" s="18"/>
      <c r="R562" s="18"/>
      <c r="S562" s="18"/>
      <c r="T562" s="18"/>
      <c r="U562" s="18"/>
      <c r="V562" s="18"/>
      <c r="W562" s="32"/>
      <c r="X562" s="18"/>
      <c r="Y562" s="18"/>
      <c r="Z562" s="32"/>
      <c r="AA562" s="18"/>
      <c r="AB562" s="18"/>
      <c r="AC562" s="18"/>
      <c r="AD562" s="33"/>
      <c r="AE562" s="32"/>
    </row>
    <row r="563" spans="14:31" x14ac:dyDescent="0.25">
      <c r="N563" s="11"/>
      <c r="P563" s="51"/>
      <c r="Q563" s="18"/>
      <c r="R563" s="18"/>
      <c r="S563" s="18"/>
      <c r="T563" s="18"/>
      <c r="U563" s="18"/>
      <c r="V563" s="18"/>
      <c r="W563" s="32"/>
      <c r="X563" s="18"/>
      <c r="Y563" s="18"/>
      <c r="Z563" s="32"/>
      <c r="AA563" s="18"/>
      <c r="AB563" s="18"/>
      <c r="AC563" s="18"/>
      <c r="AD563" s="33"/>
      <c r="AE563" s="32"/>
    </row>
    <row r="564" spans="14:31" x14ac:dyDescent="0.25">
      <c r="N564" s="11"/>
      <c r="P564" s="51"/>
      <c r="Q564" s="18"/>
      <c r="R564" s="18"/>
      <c r="S564" s="18"/>
      <c r="T564" s="18"/>
      <c r="U564" s="18"/>
      <c r="V564" s="18"/>
      <c r="W564" s="32"/>
      <c r="X564" s="18"/>
      <c r="Y564" s="18"/>
      <c r="Z564" s="32"/>
      <c r="AA564" s="18"/>
      <c r="AB564" s="18"/>
      <c r="AC564" s="18"/>
      <c r="AD564" s="33"/>
      <c r="AE564" s="32"/>
    </row>
    <row r="565" spans="14:31" x14ac:dyDescent="0.25">
      <c r="N565" s="11"/>
      <c r="P565" s="51"/>
      <c r="Q565" s="18"/>
      <c r="R565" s="18"/>
      <c r="S565" s="18"/>
      <c r="T565" s="18"/>
      <c r="U565" s="18"/>
      <c r="V565" s="18"/>
      <c r="W565" s="32"/>
      <c r="X565" s="18"/>
      <c r="Y565" s="18"/>
      <c r="Z565" s="32"/>
      <c r="AA565" s="18"/>
      <c r="AB565" s="18"/>
      <c r="AC565" s="18"/>
      <c r="AD565" s="33"/>
      <c r="AE565" s="32"/>
    </row>
    <row r="566" spans="14:31" x14ac:dyDescent="0.25">
      <c r="N566" s="11"/>
      <c r="P566" s="51"/>
      <c r="Q566" s="18"/>
      <c r="R566" s="18"/>
      <c r="S566" s="18"/>
      <c r="T566" s="18"/>
      <c r="U566" s="18"/>
      <c r="V566" s="18"/>
      <c r="W566" s="32"/>
      <c r="X566" s="18"/>
      <c r="Y566" s="18"/>
      <c r="Z566" s="32"/>
      <c r="AA566" s="18"/>
      <c r="AB566" s="18"/>
      <c r="AC566" s="18"/>
      <c r="AD566" s="33"/>
      <c r="AE566" s="32"/>
    </row>
    <row r="567" spans="14:31" x14ac:dyDescent="0.25">
      <c r="N567" s="11"/>
      <c r="P567" s="51"/>
      <c r="Q567" s="18"/>
      <c r="R567" s="18"/>
      <c r="S567" s="18"/>
      <c r="T567" s="18"/>
      <c r="U567" s="18"/>
      <c r="V567" s="18"/>
      <c r="W567" s="32"/>
      <c r="X567" s="18"/>
      <c r="Y567" s="18"/>
      <c r="Z567" s="32"/>
      <c r="AA567" s="18"/>
      <c r="AB567" s="18"/>
      <c r="AC567" s="18"/>
      <c r="AD567" s="33"/>
      <c r="AE567" s="32"/>
    </row>
    <row r="568" spans="14:31" x14ac:dyDescent="0.25">
      <c r="N568" s="11"/>
      <c r="P568" s="51"/>
      <c r="Q568" s="18"/>
      <c r="R568" s="18"/>
      <c r="S568" s="18"/>
      <c r="T568" s="18"/>
      <c r="U568" s="18"/>
      <c r="V568" s="18"/>
      <c r="W568" s="32"/>
      <c r="X568" s="18"/>
      <c r="Y568" s="18"/>
      <c r="Z568" s="32"/>
      <c r="AA568" s="18"/>
      <c r="AB568" s="18"/>
      <c r="AC568" s="18"/>
      <c r="AD568" s="33"/>
      <c r="AE568" s="32"/>
    </row>
    <row r="569" spans="14:31" x14ac:dyDescent="0.25">
      <c r="N569" s="11"/>
      <c r="P569" s="51"/>
      <c r="Q569" s="18"/>
      <c r="R569" s="18"/>
      <c r="S569" s="18"/>
      <c r="T569" s="18"/>
      <c r="U569" s="18"/>
      <c r="V569" s="18"/>
      <c r="W569" s="32"/>
      <c r="X569" s="18"/>
      <c r="Y569" s="18"/>
      <c r="Z569" s="32"/>
      <c r="AA569" s="18"/>
      <c r="AB569" s="18"/>
      <c r="AC569" s="18"/>
      <c r="AD569" s="33"/>
      <c r="AE569" s="32"/>
    </row>
    <row r="570" spans="14:31" x14ac:dyDescent="0.25">
      <c r="N570" s="11"/>
      <c r="P570" s="51"/>
      <c r="Q570" s="18"/>
      <c r="R570" s="18"/>
      <c r="S570" s="18"/>
      <c r="T570" s="18"/>
      <c r="U570" s="18"/>
      <c r="V570" s="18"/>
      <c r="W570" s="32"/>
      <c r="X570" s="18"/>
      <c r="Y570" s="18"/>
      <c r="Z570" s="32"/>
      <c r="AA570" s="18"/>
      <c r="AB570" s="18"/>
      <c r="AC570" s="18"/>
      <c r="AD570" s="33"/>
      <c r="AE570" s="32"/>
    </row>
    <row r="571" spans="14:31" x14ac:dyDescent="0.25">
      <c r="N571" s="11"/>
      <c r="P571" s="51"/>
      <c r="Q571" s="18"/>
      <c r="R571" s="18"/>
      <c r="S571" s="18"/>
      <c r="T571" s="18"/>
      <c r="U571" s="18"/>
      <c r="V571" s="18"/>
      <c r="W571" s="32"/>
      <c r="X571" s="18"/>
      <c r="Y571" s="18"/>
      <c r="Z571" s="32"/>
      <c r="AA571" s="18"/>
      <c r="AB571" s="18"/>
      <c r="AC571" s="18"/>
      <c r="AD571" s="33"/>
      <c r="AE571" s="32"/>
    </row>
    <row r="572" spans="14:31" x14ac:dyDescent="0.25">
      <c r="N572" s="11"/>
      <c r="P572" s="51"/>
      <c r="Q572" s="18"/>
      <c r="R572" s="18"/>
      <c r="S572" s="18"/>
      <c r="T572" s="18"/>
      <c r="U572" s="18"/>
      <c r="V572" s="18"/>
      <c r="W572" s="32"/>
      <c r="X572" s="18"/>
      <c r="Y572" s="18"/>
      <c r="Z572" s="32"/>
      <c r="AA572" s="18"/>
      <c r="AB572" s="18"/>
      <c r="AC572" s="18"/>
      <c r="AD572" s="33"/>
      <c r="AE572" s="32"/>
    </row>
    <row r="573" spans="14:31" x14ac:dyDescent="0.25">
      <c r="N573" s="11"/>
      <c r="P573" s="51"/>
      <c r="Q573" s="18"/>
      <c r="R573" s="18"/>
      <c r="S573" s="18"/>
      <c r="T573" s="18"/>
      <c r="U573" s="18"/>
      <c r="V573" s="18"/>
      <c r="W573" s="32"/>
      <c r="X573" s="18"/>
      <c r="Y573" s="18"/>
      <c r="Z573" s="32"/>
      <c r="AA573" s="18"/>
      <c r="AB573" s="18"/>
      <c r="AC573" s="18"/>
      <c r="AD573" s="33"/>
      <c r="AE573" s="32"/>
    </row>
    <row r="574" spans="14:31" x14ac:dyDescent="0.25">
      <c r="N574" s="11"/>
      <c r="P574" s="51"/>
      <c r="Q574" s="18"/>
      <c r="R574" s="18"/>
      <c r="S574" s="18"/>
      <c r="T574" s="18"/>
      <c r="U574" s="18"/>
      <c r="V574" s="18"/>
      <c r="W574" s="32"/>
      <c r="X574" s="18"/>
      <c r="Y574" s="18"/>
      <c r="Z574" s="32"/>
      <c r="AA574" s="18"/>
      <c r="AB574" s="18"/>
      <c r="AC574" s="18"/>
      <c r="AD574" s="33"/>
      <c r="AE574" s="32"/>
    </row>
    <row r="575" spans="14:31" x14ac:dyDescent="0.25">
      <c r="N575" s="11"/>
      <c r="P575" s="51"/>
      <c r="Q575" s="18"/>
      <c r="R575" s="18"/>
      <c r="S575" s="18"/>
      <c r="T575" s="18"/>
      <c r="U575" s="18"/>
      <c r="V575" s="18"/>
      <c r="W575" s="32"/>
      <c r="X575" s="18"/>
      <c r="Y575" s="18"/>
      <c r="Z575" s="32"/>
      <c r="AA575" s="18"/>
      <c r="AB575" s="18"/>
      <c r="AC575" s="18"/>
      <c r="AD575" s="33"/>
      <c r="AE575" s="32"/>
    </row>
    <row r="576" spans="14:31" x14ac:dyDescent="0.25">
      <c r="N576" s="11"/>
      <c r="P576" s="51"/>
      <c r="Q576" s="18"/>
      <c r="R576" s="18"/>
      <c r="S576" s="18"/>
      <c r="T576" s="18"/>
      <c r="U576" s="18"/>
      <c r="V576" s="18"/>
      <c r="W576" s="32"/>
      <c r="X576" s="18"/>
      <c r="Y576" s="18"/>
      <c r="Z576" s="32"/>
      <c r="AA576" s="18"/>
      <c r="AB576" s="18"/>
      <c r="AC576" s="18"/>
      <c r="AD576" s="33"/>
      <c r="AE576" s="32"/>
    </row>
    <row r="577" spans="14:31" x14ac:dyDescent="0.25">
      <c r="N577" s="11"/>
      <c r="P577" s="51"/>
      <c r="Q577" s="18"/>
      <c r="R577" s="18"/>
      <c r="S577" s="18"/>
      <c r="T577" s="18"/>
      <c r="U577" s="18"/>
      <c r="V577" s="18"/>
      <c r="W577" s="32"/>
      <c r="X577" s="18"/>
      <c r="Y577" s="18"/>
      <c r="Z577" s="32"/>
      <c r="AA577" s="18"/>
      <c r="AB577" s="18"/>
      <c r="AC577" s="18"/>
      <c r="AD577" s="33"/>
      <c r="AE577" s="32"/>
    </row>
    <row r="578" spans="14:31" x14ac:dyDescent="0.25">
      <c r="N578" s="11"/>
      <c r="P578" s="51"/>
      <c r="Q578" s="18"/>
      <c r="R578" s="18"/>
      <c r="S578" s="18"/>
      <c r="T578" s="18"/>
      <c r="U578" s="18"/>
      <c r="V578" s="18"/>
      <c r="W578" s="32"/>
      <c r="X578" s="18"/>
      <c r="Y578" s="18"/>
      <c r="Z578" s="32"/>
      <c r="AA578" s="18"/>
      <c r="AB578" s="18"/>
      <c r="AC578" s="18"/>
      <c r="AD578" s="33"/>
      <c r="AE578" s="32"/>
    </row>
    <row r="579" spans="14:31" x14ac:dyDescent="0.25">
      <c r="N579" s="11"/>
      <c r="P579" s="51"/>
      <c r="Q579" s="18"/>
      <c r="R579" s="18"/>
      <c r="S579" s="18"/>
      <c r="T579" s="18"/>
      <c r="U579" s="18"/>
      <c r="V579" s="18"/>
      <c r="W579" s="32"/>
      <c r="X579" s="18"/>
      <c r="Y579" s="18"/>
      <c r="Z579" s="32"/>
      <c r="AA579" s="18"/>
      <c r="AB579" s="18"/>
      <c r="AC579" s="18"/>
      <c r="AD579" s="33"/>
      <c r="AE579" s="32"/>
    </row>
    <row r="580" spans="14:31" x14ac:dyDescent="0.25">
      <c r="N580" s="11"/>
      <c r="P580" s="51"/>
      <c r="Q580" s="18"/>
      <c r="R580" s="18"/>
      <c r="S580" s="18"/>
      <c r="T580" s="18"/>
      <c r="U580" s="18"/>
      <c r="V580" s="18"/>
      <c r="W580" s="32"/>
      <c r="X580" s="18"/>
      <c r="Y580" s="18"/>
      <c r="Z580" s="32"/>
      <c r="AA580" s="18"/>
      <c r="AB580" s="18"/>
      <c r="AC580" s="18"/>
      <c r="AD580" s="33"/>
      <c r="AE580" s="32"/>
    </row>
    <row r="581" spans="14:31" x14ac:dyDescent="0.25">
      <c r="N581" s="11"/>
      <c r="P581" s="51"/>
      <c r="Q581" s="18"/>
      <c r="R581" s="18"/>
      <c r="S581" s="18"/>
      <c r="T581" s="18"/>
      <c r="U581" s="18"/>
      <c r="V581" s="18"/>
      <c r="W581" s="32"/>
      <c r="X581" s="18"/>
      <c r="Y581" s="18"/>
      <c r="Z581" s="32"/>
      <c r="AA581" s="18"/>
      <c r="AB581" s="18"/>
      <c r="AC581" s="18"/>
      <c r="AD581" s="33"/>
      <c r="AE581" s="32"/>
    </row>
    <row r="582" spans="14:31" x14ac:dyDescent="0.25">
      <c r="N582" s="11"/>
      <c r="P582" s="51"/>
      <c r="Q582" s="18"/>
      <c r="R582" s="18"/>
      <c r="S582" s="18"/>
      <c r="T582" s="18"/>
      <c r="U582" s="18"/>
      <c r="V582" s="18"/>
      <c r="W582" s="32"/>
      <c r="X582" s="18"/>
      <c r="Y582" s="18"/>
      <c r="Z582" s="32"/>
      <c r="AA582" s="18"/>
      <c r="AB582" s="18"/>
      <c r="AC582" s="18"/>
      <c r="AD582" s="33"/>
      <c r="AE582" s="32"/>
    </row>
    <row r="583" spans="14:31" x14ac:dyDescent="0.25">
      <c r="N583" s="11"/>
      <c r="P583" s="51"/>
      <c r="Q583" s="18"/>
      <c r="R583" s="18"/>
      <c r="S583" s="18"/>
      <c r="T583" s="18"/>
      <c r="U583" s="18"/>
      <c r="V583" s="18"/>
      <c r="W583" s="32"/>
      <c r="X583" s="18"/>
      <c r="Y583" s="18"/>
      <c r="Z583" s="32"/>
      <c r="AA583" s="18"/>
      <c r="AB583" s="18"/>
      <c r="AC583" s="18"/>
      <c r="AD583" s="33"/>
      <c r="AE583" s="32"/>
    </row>
    <row r="584" spans="14:31" x14ac:dyDescent="0.25">
      <c r="N584" s="11"/>
      <c r="P584" s="51"/>
      <c r="Q584" s="18"/>
      <c r="R584" s="18"/>
      <c r="S584" s="18"/>
      <c r="T584" s="18"/>
      <c r="U584" s="18"/>
      <c r="V584" s="18"/>
      <c r="W584" s="32"/>
      <c r="X584" s="18"/>
      <c r="Y584" s="18"/>
      <c r="Z584" s="32"/>
      <c r="AA584" s="18"/>
      <c r="AB584" s="18"/>
      <c r="AC584" s="18"/>
      <c r="AD584" s="33"/>
      <c r="AE584" s="32"/>
    </row>
    <row r="585" spans="14:31" x14ac:dyDescent="0.25">
      <c r="N585" s="11"/>
      <c r="P585" s="51"/>
      <c r="Q585" s="18"/>
      <c r="R585" s="18"/>
      <c r="S585" s="18"/>
      <c r="T585" s="18"/>
      <c r="U585" s="18"/>
      <c r="V585" s="18"/>
      <c r="W585" s="32"/>
      <c r="X585" s="18"/>
      <c r="Y585" s="18"/>
      <c r="Z585" s="32"/>
      <c r="AA585" s="18"/>
      <c r="AB585" s="18"/>
      <c r="AC585" s="18"/>
      <c r="AD585" s="33"/>
      <c r="AE585" s="32"/>
    </row>
    <row r="586" spans="14:31" x14ac:dyDescent="0.25">
      <c r="N586" s="11"/>
      <c r="P586" s="51"/>
      <c r="Q586" s="18"/>
      <c r="R586" s="18"/>
      <c r="S586" s="18"/>
      <c r="T586" s="18"/>
      <c r="U586" s="18"/>
      <c r="V586" s="18"/>
      <c r="W586" s="32"/>
      <c r="X586" s="18"/>
      <c r="Y586" s="18"/>
      <c r="Z586" s="32"/>
      <c r="AA586" s="18"/>
      <c r="AB586" s="18"/>
      <c r="AC586" s="18"/>
      <c r="AD586" s="33"/>
      <c r="AE586" s="32"/>
    </row>
    <row r="587" spans="14:31" x14ac:dyDescent="0.25">
      <c r="N587" s="11"/>
      <c r="P587" s="51"/>
      <c r="Q587" s="18"/>
      <c r="R587" s="18"/>
      <c r="S587" s="18"/>
      <c r="T587" s="18"/>
      <c r="U587" s="18"/>
      <c r="V587" s="18"/>
      <c r="W587" s="32"/>
      <c r="X587" s="18"/>
      <c r="Y587" s="18"/>
      <c r="Z587" s="32"/>
      <c r="AA587" s="18"/>
      <c r="AB587" s="18"/>
      <c r="AC587" s="18"/>
      <c r="AD587" s="33"/>
      <c r="AE587" s="32"/>
    </row>
    <row r="588" spans="14:31" x14ac:dyDescent="0.25">
      <c r="N588" s="11"/>
      <c r="P588" s="51"/>
      <c r="Q588" s="18"/>
      <c r="R588" s="18"/>
      <c r="S588" s="18"/>
      <c r="T588" s="18"/>
      <c r="U588" s="18"/>
      <c r="V588" s="18"/>
      <c r="W588" s="32"/>
      <c r="X588" s="18"/>
      <c r="Y588" s="18"/>
      <c r="Z588" s="32"/>
      <c r="AA588" s="18"/>
      <c r="AB588" s="18"/>
      <c r="AC588" s="18"/>
      <c r="AD588" s="33"/>
      <c r="AE588" s="32"/>
    </row>
    <row r="589" spans="14:31" x14ac:dyDescent="0.25">
      <c r="N589" s="11"/>
      <c r="P589" s="51"/>
      <c r="Q589" s="18"/>
      <c r="R589" s="18"/>
      <c r="S589" s="18"/>
      <c r="T589" s="18"/>
      <c r="U589" s="18"/>
      <c r="V589" s="18"/>
      <c r="W589" s="32"/>
      <c r="X589" s="18"/>
      <c r="Y589" s="18"/>
      <c r="Z589" s="32"/>
      <c r="AA589" s="18"/>
      <c r="AB589" s="18"/>
      <c r="AC589" s="18"/>
      <c r="AD589" s="33"/>
      <c r="AE589" s="32"/>
    </row>
    <row r="590" spans="14:31" x14ac:dyDescent="0.25">
      <c r="N590" s="11"/>
      <c r="P590" s="51"/>
      <c r="Q590" s="18"/>
      <c r="R590" s="18"/>
      <c r="S590" s="18"/>
      <c r="T590" s="18"/>
      <c r="U590" s="18"/>
      <c r="V590" s="18"/>
      <c r="W590" s="32"/>
      <c r="X590" s="18"/>
      <c r="Y590" s="18"/>
      <c r="Z590" s="32"/>
      <c r="AA590" s="18"/>
      <c r="AB590" s="18"/>
      <c r="AC590" s="18"/>
      <c r="AD590" s="33"/>
      <c r="AE590" s="32"/>
    </row>
    <row r="591" spans="14:31" x14ac:dyDescent="0.25">
      <c r="N591" s="11"/>
      <c r="P591" s="51"/>
      <c r="Q591" s="18"/>
      <c r="R591" s="18"/>
      <c r="S591" s="18"/>
      <c r="T591" s="18"/>
      <c r="U591" s="18"/>
      <c r="V591" s="18"/>
      <c r="W591" s="32"/>
      <c r="X591" s="18"/>
      <c r="Y591" s="18"/>
      <c r="Z591" s="32"/>
      <c r="AA591" s="18"/>
      <c r="AB591" s="18"/>
      <c r="AC591" s="18"/>
      <c r="AD591" s="33"/>
      <c r="AE591" s="32"/>
    </row>
    <row r="592" spans="14:31" x14ac:dyDescent="0.25">
      <c r="N592" s="11"/>
      <c r="P592" s="51"/>
      <c r="Q592" s="18"/>
      <c r="R592" s="18"/>
      <c r="S592" s="18"/>
      <c r="T592" s="18"/>
      <c r="U592" s="18"/>
      <c r="V592" s="18"/>
      <c r="W592" s="32"/>
      <c r="X592" s="18"/>
      <c r="Y592" s="18"/>
      <c r="Z592" s="32"/>
      <c r="AA592" s="18"/>
      <c r="AB592" s="18"/>
      <c r="AC592" s="18"/>
      <c r="AD592" s="33"/>
      <c r="AE592" s="32"/>
    </row>
    <row r="593" spans="14:31" x14ac:dyDescent="0.25">
      <c r="N593" s="11"/>
      <c r="P593" s="51"/>
      <c r="Q593" s="18"/>
      <c r="R593" s="18"/>
      <c r="S593" s="18"/>
      <c r="T593" s="18"/>
      <c r="U593" s="18"/>
      <c r="V593" s="18"/>
      <c r="W593" s="32"/>
      <c r="X593" s="18"/>
      <c r="Y593" s="18"/>
      <c r="Z593" s="32"/>
      <c r="AA593" s="18"/>
      <c r="AB593" s="18"/>
      <c r="AC593" s="18"/>
      <c r="AD593" s="33"/>
      <c r="AE593" s="32"/>
    </row>
    <row r="594" spans="14:31" x14ac:dyDescent="0.25">
      <c r="N594" s="11"/>
      <c r="P594" s="51"/>
      <c r="Q594" s="18"/>
      <c r="R594" s="18"/>
      <c r="S594" s="18"/>
      <c r="T594" s="18"/>
      <c r="U594" s="18"/>
      <c r="V594" s="18"/>
      <c r="W594" s="32"/>
      <c r="X594" s="18"/>
      <c r="Y594" s="18"/>
      <c r="Z594" s="32"/>
      <c r="AA594" s="18"/>
      <c r="AB594" s="18"/>
      <c r="AC594" s="18"/>
      <c r="AD594" s="33"/>
      <c r="AE594" s="32"/>
    </row>
    <row r="595" spans="14:31" x14ac:dyDescent="0.25">
      <c r="N595" s="11"/>
      <c r="P595" s="51"/>
      <c r="Q595" s="18"/>
      <c r="R595" s="18"/>
      <c r="S595" s="18"/>
      <c r="T595" s="18"/>
      <c r="U595" s="18"/>
      <c r="V595" s="18"/>
      <c r="W595" s="32"/>
      <c r="X595" s="18"/>
      <c r="Y595" s="18"/>
      <c r="Z595" s="32"/>
      <c r="AA595" s="18"/>
      <c r="AB595" s="18"/>
      <c r="AC595" s="18"/>
      <c r="AD595" s="33"/>
      <c r="AE595" s="32"/>
    </row>
    <row r="596" spans="14:31" x14ac:dyDescent="0.25">
      <c r="N596" s="11"/>
      <c r="P596" s="51"/>
      <c r="Q596" s="18"/>
      <c r="R596" s="18"/>
      <c r="S596" s="18"/>
      <c r="T596" s="18"/>
      <c r="U596" s="18"/>
      <c r="V596" s="18"/>
      <c r="W596" s="32"/>
      <c r="X596" s="18"/>
      <c r="Y596" s="18"/>
      <c r="Z596" s="32"/>
      <c r="AA596" s="18"/>
      <c r="AB596" s="18"/>
      <c r="AC596" s="18"/>
      <c r="AD596" s="33"/>
      <c r="AE596" s="32"/>
    </row>
    <row r="597" spans="14:31" x14ac:dyDescent="0.25">
      <c r="N597" s="11"/>
      <c r="P597" s="51"/>
      <c r="Q597" s="18"/>
      <c r="R597" s="18"/>
      <c r="S597" s="18"/>
      <c r="T597" s="18"/>
      <c r="U597" s="18"/>
      <c r="V597" s="18"/>
      <c r="W597" s="32"/>
      <c r="X597" s="18"/>
      <c r="Y597" s="18"/>
      <c r="Z597" s="32"/>
      <c r="AA597" s="18"/>
      <c r="AB597" s="18"/>
      <c r="AC597" s="18"/>
      <c r="AD597" s="33"/>
      <c r="AE597" s="32"/>
    </row>
    <row r="598" spans="14:31" x14ac:dyDescent="0.25">
      <c r="N598" s="11"/>
      <c r="P598" s="51"/>
      <c r="Q598" s="18"/>
      <c r="R598" s="18"/>
      <c r="S598" s="18"/>
      <c r="T598" s="18"/>
      <c r="U598" s="18"/>
      <c r="V598" s="18"/>
      <c r="W598" s="32"/>
      <c r="X598" s="18"/>
      <c r="Y598" s="18"/>
      <c r="Z598" s="32"/>
      <c r="AA598" s="18"/>
      <c r="AB598" s="18"/>
      <c r="AC598" s="18"/>
      <c r="AD598" s="33"/>
      <c r="AE598" s="32"/>
    </row>
    <row r="599" spans="14:31" x14ac:dyDescent="0.25">
      <c r="N599" s="11"/>
      <c r="P599" s="51"/>
      <c r="Q599" s="18"/>
      <c r="R599" s="18"/>
      <c r="S599" s="18"/>
      <c r="T599" s="18"/>
      <c r="U599" s="18"/>
      <c r="V599" s="18"/>
      <c r="W599" s="32"/>
      <c r="X599" s="18"/>
      <c r="Y599" s="18"/>
      <c r="Z599" s="32"/>
      <c r="AA599" s="18"/>
      <c r="AB599" s="18"/>
      <c r="AC599" s="18"/>
      <c r="AD599" s="33"/>
      <c r="AE599" s="32"/>
    </row>
    <row r="600" spans="14:31" x14ac:dyDescent="0.25">
      <c r="N600" s="11"/>
      <c r="P600" s="51"/>
      <c r="Q600" s="18"/>
      <c r="R600" s="18"/>
      <c r="S600" s="18"/>
      <c r="T600" s="18"/>
      <c r="U600" s="18"/>
      <c r="V600" s="18"/>
      <c r="W600" s="32"/>
      <c r="X600" s="18"/>
      <c r="Y600" s="18"/>
      <c r="Z600" s="32"/>
      <c r="AA600" s="18"/>
      <c r="AB600" s="18"/>
      <c r="AC600" s="18"/>
      <c r="AD600" s="33"/>
      <c r="AE600" s="32"/>
    </row>
    <row r="601" spans="14:31" x14ac:dyDescent="0.25">
      <c r="N601" s="11"/>
      <c r="P601" s="51"/>
      <c r="Q601" s="18"/>
      <c r="R601" s="18"/>
      <c r="S601" s="18"/>
      <c r="T601" s="18"/>
      <c r="U601" s="18"/>
      <c r="V601" s="18"/>
      <c r="W601" s="32"/>
      <c r="X601" s="18"/>
      <c r="Y601" s="18"/>
      <c r="Z601" s="32"/>
      <c r="AA601" s="18"/>
      <c r="AB601" s="18"/>
      <c r="AC601" s="18"/>
      <c r="AD601" s="33"/>
      <c r="AE601" s="32"/>
    </row>
    <row r="602" spans="14:31" x14ac:dyDescent="0.25">
      <c r="N602" s="11"/>
      <c r="P602" s="51"/>
      <c r="Q602" s="18"/>
      <c r="R602" s="18"/>
      <c r="S602" s="18"/>
      <c r="T602" s="18"/>
      <c r="U602" s="18"/>
      <c r="V602" s="18"/>
      <c r="W602" s="32"/>
      <c r="X602" s="18"/>
      <c r="Y602" s="18"/>
      <c r="Z602" s="32"/>
      <c r="AA602" s="18"/>
      <c r="AB602" s="18"/>
      <c r="AC602" s="18"/>
      <c r="AD602" s="33"/>
      <c r="AE602" s="32"/>
    </row>
    <row r="603" spans="14:31" x14ac:dyDescent="0.25">
      <c r="N603" s="11"/>
      <c r="P603" s="51"/>
      <c r="Q603" s="18"/>
      <c r="R603" s="18"/>
      <c r="S603" s="18"/>
      <c r="T603" s="18"/>
      <c r="U603" s="18"/>
      <c r="V603" s="18"/>
      <c r="W603" s="32"/>
      <c r="X603" s="18"/>
      <c r="Y603" s="18"/>
      <c r="Z603" s="32"/>
      <c r="AA603" s="18"/>
      <c r="AB603" s="18"/>
      <c r="AC603" s="18"/>
      <c r="AD603" s="33"/>
      <c r="AE603" s="32"/>
    </row>
    <row r="604" spans="14:31" x14ac:dyDescent="0.25">
      <c r="N604" s="11"/>
      <c r="P604" s="51"/>
      <c r="Q604" s="18"/>
      <c r="R604" s="18"/>
      <c r="S604" s="18"/>
      <c r="T604" s="18"/>
      <c r="U604" s="18"/>
      <c r="V604" s="18"/>
      <c r="W604" s="32"/>
      <c r="X604" s="18"/>
      <c r="Y604" s="18"/>
      <c r="Z604" s="32"/>
      <c r="AA604" s="18"/>
      <c r="AB604" s="18"/>
      <c r="AC604" s="18"/>
      <c r="AD604" s="33"/>
      <c r="AE604" s="32"/>
    </row>
    <row r="605" spans="14:31" x14ac:dyDescent="0.25">
      <c r="N605" s="11"/>
      <c r="P605" s="51"/>
      <c r="Q605" s="18"/>
      <c r="R605" s="18"/>
      <c r="S605" s="18"/>
      <c r="T605" s="18"/>
      <c r="U605" s="18"/>
      <c r="V605" s="18"/>
      <c r="W605" s="32"/>
      <c r="X605" s="18"/>
      <c r="Y605" s="18"/>
      <c r="Z605" s="32"/>
      <c r="AA605" s="18"/>
      <c r="AB605" s="18"/>
      <c r="AC605" s="18"/>
      <c r="AD605" s="33"/>
      <c r="AE605" s="32"/>
    </row>
    <row r="606" spans="14:31" x14ac:dyDescent="0.25">
      <c r="N606" s="11"/>
      <c r="P606" s="51"/>
      <c r="Q606" s="18"/>
      <c r="R606" s="18"/>
      <c r="S606" s="18"/>
      <c r="T606" s="18"/>
      <c r="U606" s="18"/>
      <c r="V606" s="18"/>
      <c r="W606" s="32"/>
      <c r="X606" s="18"/>
      <c r="Y606" s="18"/>
      <c r="Z606" s="32"/>
      <c r="AA606" s="18"/>
      <c r="AB606" s="18"/>
      <c r="AC606" s="18"/>
      <c r="AD606" s="33"/>
      <c r="AE606" s="32"/>
    </row>
    <row r="607" spans="14:31" x14ac:dyDescent="0.25">
      <c r="N607" s="11"/>
      <c r="P607" s="51"/>
      <c r="Q607" s="18"/>
      <c r="R607" s="18"/>
      <c r="S607" s="18"/>
      <c r="T607" s="18"/>
      <c r="U607" s="18"/>
      <c r="V607" s="18"/>
      <c r="W607" s="32"/>
      <c r="X607" s="18"/>
      <c r="Y607" s="18"/>
      <c r="Z607" s="32"/>
      <c r="AA607" s="18"/>
      <c r="AB607" s="18"/>
      <c r="AC607" s="18"/>
      <c r="AD607" s="33"/>
      <c r="AE607" s="32"/>
    </row>
    <row r="608" spans="14:31" x14ac:dyDescent="0.25">
      <c r="N608" s="11"/>
      <c r="P608" s="51"/>
      <c r="Q608" s="18"/>
      <c r="R608" s="18"/>
      <c r="S608" s="18"/>
      <c r="T608" s="18"/>
      <c r="U608" s="18"/>
      <c r="V608" s="18"/>
      <c r="W608" s="32"/>
      <c r="X608" s="18"/>
      <c r="Y608" s="18"/>
      <c r="Z608" s="32"/>
      <c r="AA608" s="18"/>
      <c r="AB608" s="18"/>
      <c r="AC608" s="18"/>
      <c r="AD608" s="33"/>
      <c r="AE608" s="32"/>
    </row>
    <row r="609" spans="14:31" x14ac:dyDescent="0.25">
      <c r="N609" s="11"/>
      <c r="P609" s="51"/>
      <c r="Q609" s="18"/>
      <c r="R609" s="18"/>
      <c r="S609" s="18"/>
      <c r="T609" s="18"/>
      <c r="U609" s="18"/>
      <c r="V609" s="18"/>
      <c r="W609" s="32"/>
      <c r="X609" s="18"/>
      <c r="Y609" s="18"/>
      <c r="Z609" s="32"/>
      <c r="AA609" s="18"/>
      <c r="AB609" s="18"/>
      <c r="AC609" s="18"/>
      <c r="AD609" s="33"/>
      <c r="AE609" s="32"/>
    </row>
    <row r="610" spans="14:31" x14ac:dyDescent="0.25">
      <c r="N610" s="11"/>
      <c r="P610" s="51"/>
      <c r="Q610" s="18"/>
      <c r="R610" s="18"/>
      <c r="S610" s="18"/>
      <c r="T610" s="18"/>
      <c r="U610" s="18"/>
      <c r="V610" s="18"/>
      <c r="W610" s="32"/>
      <c r="X610" s="18"/>
      <c r="Y610" s="18"/>
      <c r="Z610" s="32"/>
      <c r="AA610" s="18"/>
      <c r="AB610" s="18"/>
      <c r="AC610" s="18"/>
      <c r="AD610" s="33"/>
      <c r="AE610" s="32"/>
    </row>
    <row r="611" spans="14:31" x14ac:dyDescent="0.25">
      <c r="N611" s="11"/>
      <c r="P611" s="51"/>
      <c r="Q611" s="18"/>
      <c r="R611" s="18"/>
      <c r="S611" s="18"/>
      <c r="T611" s="18"/>
      <c r="U611" s="18"/>
      <c r="V611" s="18"/>
      <c r="W611" s="32"/>
      <c r="X611" s="18"/>
      <c r="Y611" s="18"/>
      <c r="Z611" s="32"/>
      <c r="AA611" s="18"/>
      <c r="AB611" s="18"/>
      <c r="AC611" s="18"/>
      <c r="AD611" s="33"/>
      <c r="AE611" s="32"/>
    </row>
    <row r="612" spans="14:31" x14ac:dyDescent="0.25">
      <c r="N612" s="11"/>
      <c r="P612" s="51"/>
      <c r="Q612" s="18"/>
      <c r="R612" s="18"/>
      <c r="S612" s="18"/>
      <c r="T612" s="18"/>
      <c r="U612" s="18"/>
      <c r="V612" s="18"/>
      <c r="W612" s="32"/>
      <c r="X612" s="18"/>
      <c r="Y612" s="18"/>
      <c r="Z612" s="32"/>
      <c r="AA612" s="18"/>
      <c r="AB612" s="18"/>
      <c r="AC612" s="18"/>
      <c r="AD612" s="33"/>
      <c r="AE612" s="32"/>
    </row>
    <row r="613" spans="14:31" x14ac:dyDescent="0.25">
      <c r="N613" s="11"/>
      <c r="P613" s="51"/>
      <c r="Q613" s="18"/>
      <c r="R613" s="18"/>
      <c r="S613" s="18"/>
      <c r="T613" s="18"/>
      <c r="U613" s="18"/>
      <c r="V613" s="18"/>
      <c r="W613" s="32"/>
      <c r="X613" s="18"/>
      <c r="Y613" s="18"/>
      <c r="Z613" s="32"/>
      <c r="AA613" s="18"/>
      <c r="AB613" s="18"/>
      <c r="AC613" s="18"/>
      <c r="AD613" s="33"/>
      <c r="AE613" s="32"/>
    </row>
    <row r="614" spans="14:31" x14ac:dyDescent="0.25">
      <c r="N614" s="11"/>
      <c r="P614" s="51"/>
      <c r="Q614" s="18"/>
      <c r="R614" s="18"/>
      <c r="S614" s="18"/>
      <c r="T614" s="18"/>
      <c r="U614" s="18"/>
      <c r="V614" s="18"/>
      <c r="W614" s="32"/>
      <c r="X614" s="18"/>
      <c r="Y614" s="18"/>
      <c r="Z614" s="32"/>
      <c r="AA614" s="18"/>
      <c r="AB614" s="18"/>
      <c r="AC614" s="18"/>
      <c r="AD614" s="33"/>
      <c r="AE614" s="32"/>
    </row>
    <row r="615" spans="14:31" x14ac:dyDescent="0.25">
      <c r="N615" s="11"/>
      <c r="P615" s="51"/>
      <c r="Q615" s="18"/>
      <c r="R615" s="18"/>
      <c r="S615" s="18"/>
      <c r="T615" s="18"/>
      <c r="U615" s="18"/>
      <c r="V615" s="18"/>
      <c r="W615" s="32"/>
      <c r="X615" s="18"/>
      <c r="Y615" s="18"/>
      <c r="Z615" s="32"/>
      <c r="AA615" s="18"/>
      <c r="AB615" s="18"/>
      <c r="AC615" s="18"/>
      <c r="AD615" s="33"/>
      <c r="AE615" s="32"/>
    </row>
    <row r="616" spans="14:31" x14ac:dyDescent="0.25">
      <c r="N616" s="11"/>
      <c r="P616" s="51"/>
      <c r="Q616" s="18"/>
      <c r="R616" s="18"/>
      <c r="S616" s="18"/>
      <c r="T616" s="18"/>
      <c r="U616" s="18"/>
      <c r="V616" s="18"/>
      <c r="W616" s="32"/>
      <c r="X616" s="18"/>
      <c r="Y616" s="18"/>
      <c r="Z616" s="32"/>
      <c r="AA616" s="18"/>
      <c r="AB616" s="18"/>
      <c r="AC616" s="18"/>
      <c r="AD616" s="33"/>
      <c r="AE616" s="32"/>
    </row>
    <row r="617" spans="14:31" x14ac:dyDescent="0.25">
      <c r="N617" s="11"/>
      <c r="P617" s="51"/>
      <c r="Q617" s="18"/>
      <c r="R617" s="18"/>
      <c r="S617" s="18"/>
      <c r="T617" s="18"/>
      <c r="U617" s="18"/>
      <c r="V617" s="18"/>
      <c r="W617" s="32"/>
      <c r="X617" s="18"/>
      <c r="Y617" s="18"/>
      <c r="Z617" s="32"/>
      <c r="AA617" s="18"/>
      <c r="AB617" s="18"/>
      <c r="AC617" s="18"/>
      <c r="AD617" s="33"/>
      <c r="AE617" s="32"/>
    </row>
    <row r="618" spans="14:31" x14ac:dyDescent="0.25">
      <c r="N618" s="11"/>
      <c r="P618" s="51"/>
      <c r="Q618" s="18"/>
      <c r="R618" s="18"/>
      <c r="S618" s="18"/>
      <c r="T618" s="18"/>
      <c r="U618" s="18"/>
      <c r="V618" s="18"/>
      <c r="W618" s="32"/>
      <c r="X618" s="18"/>
      <c r="Y618" s="18"/>
      <c r="Z618" s="32"/>
      <c r="AA618" s="18"/>
      <c r="AB618" s="18"/>
      <c r="AC618" s="18"/>
      <c r="AD618" s="33"/>
      <c r="AE618" s="32"/>
    </row>
    <row r="619" spans="14:31" x14ac:dyDescent="0.25">
      <c r="N619" s="11"/>
      <c r="P619" s="51"/>
      <c r="Q619" s="18"/>
      <c r="R619" s="18"/>
      <c r="S619" s="18"/>
      <c r="T619" s="18"/>
      <c r="U619" s="18"/>
      <c r="V619" s="18"/>
      <c r="W619" s="32"/>
      <c r="X619" s="18"/>
      <c r="Y619" s="18"/>
      <c r="Z619" s="32"/>
      <c r="AA619" s="18"/>
      <c r="AB619" s="18"/>
      <c r="AC619" s="18"/>
      <c r="AD619" s="33"/>
      <c r="AE619" s="32"/>
    </row>
    <row r="620" spans="14:31" x14ac:dyDescent="0.25">
      <c r="N620" s="11"/>
      <c r="P620" s="51"/>
      <c r="Q620" s="18"/>
      <c r="R620" s="18"/>
      <c r="S620" s="18"/>
      <c r="T620" s="18"/>
      <c r="U620" s="18"/>
      <c r="V620" s="18"/>
      <c r="W620" s="32"/>
      <c r="X620" s="18"/>
      <c r="Y620" s="18"/>
      <c r="Z620" s="32"/>
      <c r="AA620" s="18"/>
      <c r="AB620" s="18"/>
      <c r="AC620" s="18"/>
      <c r="AD620" s="33"/>
      <c r="AE620" s="32"/>
    </row>
    <row r="621" spans="14:31" x14ac:dyDescent="0.25">
      <c r="N621" s="11"/>
      <c r="P621" s="51"/>
      <c r="Q621" s="18"/>
      <c r="R621" s="18"/>
      <c r="S621" s="18"/>
      <c r="T621" s="18"/>
      <c r="U621" s="18"/>
      <c r="V621" s="18"/>
      <c r="W621" s="32"/>
      <c r="X621" s="18"/>
      <c r="Y621" s="18"/>
      <c r="Z621" s="32"/>
      <c r="AA621" s="18"/>
      <c r="AB621" s="18"/>
      <c r="AC621" s="18"/>
      <c r="AD621" s="33"/>
      <c r="AE621" s="32"/>
    </row>
    <row r="622" spans="14:31" x14ac:dyDescent="0.25">
      <c r="N622" s="11"/>
      <c r="P622" s="51"/>
      <c r="Q622" s="18"/>
      <c r="R622" s="18"/>
      <c r="S622" s="18"/>
      <c r="T622" s="18"/>
      <c r="U622" s="18"/>
      <c r="V622" s="18"/>
      <c r="W622" s="32"/>
      <c r="X622" s="18"/>
      <c r="Y622" s="18"/>
      <c r="Z622" s="32"/>
      <c r="AA622" s="18"/>
      <c r="AB622" s="18"/>
      <c r="AC622" s="18"/>
      <c r="AD622" s="33"/>
      <c r="AE622" s="32"/>
    </row>
    <row r="623" spans="14:31" x14ac:dyDescent="0.25">
      <c r="N623" s="11"/>
      <c r="P623" s="51"/>
      <c r="Q623" s="18"/>
      <c r="R623" s="18"/>
      <c r="S623" s="18"/>
      <c r="T623" s="18"/>
      <c r="U623" s="18"/>
      <c r="V623" s="18"/>
      <c r="W623" s="32"/>
      <c r="X623" s="18"/>
      <c r="Y623" s="18"/>
      <c r="Z623" s="32"/>
      <c r="AA623" s="18"/>
      <c r="AB623" s="18"/>
      <c r="AC623" s="18"/>
      <c r="AD623" s="33"/>
      <c r="AE623" s="32"/>
    </row>
    <row r="624" spans="14:31" x14ac:dyDescent="0.25">
      <c r="N624" s="11"/>
      <c r="P624" s="51"/>
      <c r="Q624" s="18"/>
      <c r="R624" s="18"/>
      <c r="S624" s="18"/>
      <c r="T624" s="18"/>
      <c r="U624" s="18"/>
      <c r="V624" s="18"/>
      <c r="W624" s="32"/>
      <c r="X624" s="18"/>
      <c r="Y624" s="18"/>
      <c r="Z624" s="32"/>
      <c r="AA624" s="18"/>
      <c r="AB624" s="18"/>
      <c r="AC624" s="18"/>
      <c r="AD624" s="33"/>
      <c r="AE624" s="32"/>
    </row>
    <row r="625" spans="14:31" x14ac:dyDescent="0.25">
      <c r="N625" s="11"/>
      <c r="P625" s="51"/>
      <c r="Q625" s="18"/>
      <c r="R625" s="18"/>
      <c r="S625" s="18"/>
      <c r="T625" s="18"/>
      <c r="U625" s="18"/>
      <c r="V625" s="18"/>
      <c r="W625" s="32"/>
      <c r="X625" s="18"/>
      <c r="Y625" s="18"/>
      <c r="Z625" s="32"/>
      <c r="AA625" s="18"/>
      <c r="AB625" s="18"/>
      <c r="AC625" s="18"/>
      <c r="AD625" s="33"/>
      <c r="AE625" s="32"/>
    </row>
    <row r="626" spans="14:31" x14ac:dyDescent="0.25">
      <c r="N626" s="11"/>
      <c r="P626" s="51"/>
      <c r="Q626" s="18"/>
      <c r="R626" s="18"/>
      <c r="S626" s="18"/>
      <c r="T626" s="18"/>
      <c r="U626" s="18"/>
      <c r="V626" s="18"/>
      <c r="W626" s="32"/>
      <c r="X626" s="18"/>
      <c r="Y626" s="18"/>
      <c r="Z626" s="32"/>
      <c r="AA626" s="18"/>
      <c r="AB626" s="18"/>
      <c r="AC626" s="18"/>
      <c r="AD626" s="33"/>
      <c r="AE626" s="32"/>
    </row>
    <row r="627" spans="14:31" x14ac:dyDescent="0.25">
      <c r="N627" s="11"/>
      <c r="P627" s="51"/>
      <c r="Q627" s="18"/>
      <c r="R627" s="18"/>
      <c r="S627" s="18"/>
      <c r="T627" s="18"/>
      <c r="U627" s="18"/>
      <c r="V627" s="18"/>
      <c r="W627" s="32"/>
      <c r="X627" s="18"/>
      <c r="Y627" s="18"/>
      <c r="Z627" s="32"/>
      <c r="AA627" s="18"/>
      <c r="AB627" s="18"/>
      <c r="AC627" s="18"/>
      <c r="AD627" s="33"/>
      <c r="AE627" s="32"/>
    </row>
    <row r="628" spans="14:31" x14ac:dyDescent="0.25">
      <c r="N628" s="11"/>
      <c r="P628" s="51"/>
      <c r="Q628" s="18"/>
      <c r="R628" s="18"/>
      <c r="S628" s="18"/>
      <c r="T628" s="18"/>
      <c r="U628" s="18"/>
      <c r="V628" s="18"/>
      <c r="W628" s="32"/>
      <c r="X628" s="18"/>
      <c r="Y628" s="18"/>
      <c r="Z628" s="32"/>
      <c r="AA628" s="18"/>
      <c r="AB628" s="18"/>
      <c r="AC628" s="18"/>
      <c r="AD628" s="33"/>
      <c r="AE628" s="32"/>
    </row>
    <row r="629" spans="14:31" x14ac:dyDescent="0.25">
      <c r="N629" s="11"/>
      <c r="P629" s="51"/>
      <c r="Q629" s="18"/>
      <c r="R629" s="18"/>
      <c r="S629" s="18"/>
      <c r="T629" s="18"/>
      <c r="U629" s="18"/>
      <c r="V629" s="18"/>
      <c r="W629" s="32"/>
      <c r="X629" s="18"/>
      <c r="Y629" s="18"/>
      <c r="Z629" s="32"/>
      <c r="AA629" s="18"/>
      <c r="AB629" s="18"/>
      <c r="AC629" s="18"/>
      <c r="AD629" s="33"/>
      <c r="AE629" s="32"/>
    </row>
    <row r="630" spans="14:31" x14ac:dyDescent="0.25">
      <c r="N630" s="11"/>
      <c r="P630" s="51"/>
      <c r="Q630" s="18"/>
      <c r="R630" s="18"/>
      <c r="S630" s="18"/>
      <c r="T630" s="18"/>
      <c r="U630" s="18"/>
      <c r="V630" s="18"/>
      <c r="W630" s="32"/>
      <c r="X630" s="18"/>
      <c r="Y630" s="18"/>
      <c r="Z630" s="32"/>
      <c r="AA630" s="18"/>
      <c r="AB630" s="18"/>
      <c r="AC630" s="18"/>
      <c r="AD630" s="33"/>
      <c r="AE630" s="32"/>
    </row>
    <row r="631" spans="14:31" x14ac:dyDescent="0.25">
      <c r="N631" s="11"/>
      <c r="P631" s="51"/>
      <c r="Q631" s="18"/>
      <c r="R631" s="18"/>
      <c r="S631" s="18"/>
      <c r="T631" s="18"/>
      <c r="U631" s="18"/>
      <c r="V631" s="18"/>
      <c r="W631" s="32"/>
      <c r="X631" s="18"/>
      <c r="Y631" s="18"/>
      <c r="Z631" s="32"/>
      <c r="AA631" s="18"/>
      <c r="AB631" s="18"/>
      <c r="AC631" s="18"/>
      <c r="AD631" s="33"/>
      <c r="AE631" s="32"/>
    </row>
    <row r="632" spans="14:31" x14ac:dyDescent="0.25">
      <c r="N632" s="11"/>
      <c r="P632" s="51"/>
      <c r="Q632" s="18"/>
      <c r="R632" s="18"/>
      <c r="S632" s="18"/>
      <c r="T632" s="18"/>
      <c r="U632" s="18"/>
      <c r="V632" s="18"/>
      <c r="W632" s="32"/>
      <c r="X632" s="18"/>
      <c r="Y632" s="18"/>
      <c r="Z632" s="32"/>
      <c r="AA632" s="18"/>
      <c r="AB632" s="18"/>
      <c r="AC632" s="18"/>
      <c r="AD632" s="33"/>
      <c r="AE632" s="32"/>
    </row>
    <row r="633" spans="14:31" x14ac:dyDescent="0.25">
      <c r="N633" s="11"/>
      <c r="P633" s="51"/>
      <c r="Q633" s="18"/>
      <c r="R633" s="18"/>
      <c r="S633" s="18"/>
      <c r="T633" s="18"/>
      <c r="U633" s="18"/>
      <c r="V633" s="18"/>
      <c r="W633" s="32"/>
      <c r="X633" s="18"/>
      <c r="Y633" s="18"/>
      <c r="Z633" s="32"/>
      <c r="AA633" s="18"/>
      <c r="AB633" s="18"/>
      <c r="AC633" s="18"/>
      <c r="AD633" s="33"/>
      <c r="AE633" s="32"/>
    </row>
    <row r="634" spans="14:31" x14ac:dyDescent="0.25">
      <c r="N634" s="11"/>
      <c r="P634" s="51"/>
      <c r="Q634" s="18"/>
      <c r="R634" s="18"/>
      <c r="S634" s="18"/>
      <c r="T634" s="18"/>
      <c r="U634" s="18"/>
      <c r="V634" s="18"/>
      <c r="W634" s="32"/>
      <c r="X634" s="18"/>
      <c r="Y634" s="18"/>
      <c r="Z634" s="32"/>
      <c r="AA634" s="18"/>
      <c r="AB634" s="18"/>
      <c r="AC634" s="18"/>
      <c r="AD634" s="33"/>
      <c r="AE634" s="32"/>
    </row>
    <row r="635" spans="14:31" x14ac:dyDescent="0.25">
      <c r="N635" s="11"/>
      <c r="P635" s="51"/>
      <c r="Q635" s="18"/>
      <c r="R635" s="18"/>
      <c r="S635" s="18"/>
      <c r="T635" s="18"/>
      <c r="U635" s="18"/>
      <c r="V635" s="18"/>
      <c r="W635" s="32"/>
      <c r="X635" s="18"/>
      <c r="Y635" s="18"/>
      <c r="Z635" s="32"/>
      <c r="AA635" s="18"/>
      <c r="AB635" s="18"/>
      <c r="AC635" s="18"/>
      <c r="AD635" s="33"/>
      <c r="AE635" s="32"/>
    </row>
    <row r="636" spans="14:31" x14ac:dyDescent="0.25">
      <c r="N636" s="11"/>
      <c r="P636" s="51"/>
      <c r="Q636" s="18"/>
      <c r="R636" s="18"/>
      <c r="S636" s="18"/>
      <c r="T636" s="18"/>
      <c r="U636" s="18"/>
      <c r="V636" s="18"/>
      <c r="W636" s="32"/>
      <c r="X636" s="18"/>
      <c r="Y636" s="18"/>
      <c r="Z636" s="32"/>
      <c r="AA636" s="18"/>
      <c r="AB636" s="18"/>
      <c r="AC636" s="18"/>
      <c r="AD636" s="33"/>
      <c r="AE636" s="32"/>
    </row>
    <row r="637" spans="14:31" x14ac:dyDescent="0.25">
      <c r="N637" s="11"/>
      <c r="P637" s="51"/>
      <c r="Q637" s="18"/>
      <c r="R637" s="18"/>
      <c r="S637" s="18"/>
      <c r="T637" s="18"/>
      <c r="U637" s="18"/>
      <c r="V637" s="18"/>
      <c r="W637" s="32"/>
      <c r="X637" s="18"/>
      <c r="Y637" s="18"/>
      <c r="Z637" s="32"/>
      <c r="AA637" s="18"/>
      <c r="AB637" s="18"/>
      <c r="AC637" s="18"/>
      <c r="AD637" s="33"/>
      <c r="AE637" s="32"/>
    </row>
    <row r="638" spans="14:31" x14ac:dyDescent="0.25">
      <c r="N638" s="11"/>
      <c r="P638" s="51"/>
      <c r="Q638" s="18"/>
      <c r="R638" s="18"/>
      <c r="S638" s="18"/>
      <c r="T638" s="18"/>
      <c r="U638" s="18"/>
      <c r="V638" s="18"/>
      <c r="W638" s="32"/>
      <c r="X638" s="18"/>
      <c r="Y638" s="18"/>
      <c r="Z638" s="32"/>
      <c r="AA638" s="18"/>
      <c r="AB638" s="18"/>
      <c r="AC638" s="18"/>
      <c r="AD638" s="33"/>
      <c r="AE638" s="32"/>
    </row>
    <row r="639" spans="14:31" x14ac:dyDescent="0.25">
      <c r="N639" s="11"/>
      <c r="P639" s="51"/>
      <c r="Q639" s="18"/>
      <c r="R639" s="18"/>
      <c r="S639" s="18"/>
      <c r="T639" s="18"/>
      <c r="U639" s="18"/>
      <c r="V639" s="18"/>
      <c r="W639" s="32"/>
      <c r="X639" s="18"/>
      <c r="Y639" s="18"/>
      <c r="Z639" s="32"/>
      <c r="AA639" s="18"/>
      <c r="AB639" s="18"/>
      <c r="AC639" s="18"/>
      <c r="AD639" s="33"/>
      <c r="AE639" s="32"/>
    </row>
    <row r="640" spans="14:31" x14ac:dyDescent="0.25">
      <c r="N640" s="11"/>
      <c r="P640" s="51"/>
      <c r="Q640" s="18"/>
      <c r="R640" s="18"/>
      <c r="S640" s="18"/>
      <c r="T640" s="18"/>
      <c r="U640" s="18"/>
      <c r="V640" s="18"/>
      <c r="W640" s="32"/>
      <c r="X640" s="18"/>
      <c r="Y640" s="18"/>
      <c r="Z640" s="32"/>
      <c r="AA640" s="18"/>
      <c r="AB640" s="18"/>
      <c r="AC640" s="18"/>
      <c r="AD640" s="33"/>
      <c r="AE640" s="32"/>
    </row>
    <row r="641" spans="14:31" x14ac:dyDescent="0.25">
      <c r="N641" s="11"/>
      <c r="P641" s="51"/>
      <c r="Q641" s="18"/>
      <c r="R641" s="18"/>
      <c r="S641" s="18"/>
      <c r="T641" s="18"/>
      <c r="U641" s="18"/>
      <c r="V641" s="18"/>
      <c r="W641" s="32"/>
      <c r="X641" s="18"/>
      <c r="Y641" s="18"/>
      <c r="Z641" s="32"/>
      <c r="AA641" s="18"/>
      <c r="AB641" s="18"/>
      <c r="AC641" s="18"/>
      <c r="AD641" s="33"/>
      <c r="AE641" s="32"/>
    </row>
    <row r="642" spans="14:31" x14ac:dyDescent="0.25">
      <c r="N642" s="11"/>
      <c r="P642" s="51"/>
      <c r="Q642" s="18"/>
      <c r="R642" s="18"/>
      <c r="S642" s="18"/>
      <c r="T642" s="18"/>
      <c r="U642" s="18"/>
      <c r="V642" s="18"/>
      <c r="W642" s="32"/>
      <c r="X642" s="18"/>
      <c r="Y642" s="18"/>
      <c r="Z642" s="32"/>
      <c r="AA642" s="18"/>
      <c r="AB642" s="18"/>
      <c r="AC642" s="18"/>
      <c r="AD642" s="33"/>
      <c r="AE642" s="32"/>
    </row>
    <row r="643" spans="14:31" x14ac:dyDescent="0.25">
      <c r="N643" s="11"/>
      <c r="P643" s="51"/>
      <c r="Q643" s="18"/>
      <c r="R643" s="18"/>
      <c r="S643" s="18"/>
      <c r="T643" s="18"/>
      <c r="U643" s="18"/>
      <c r="V643" s="18"/>
      <c r="W643" s="32"/>
      <c r="X643" s="18"/>
      <c r="Y643" s="18"/>
      <c r="Z643" s="32"/>
      <c r="AA643" s="18"/>
      <c r="AB643" s="18"/>
      <c r="AC643" s="18"/>
      <c r="AD643" s="33"/>
      <c r="AE643" s="32"/>
    </row>
    <row r="644" spans="14:31" x14ac:dyDescent="0.25">
      <c r="N644" s="11"/>
      <c r="P644" s="51"/>
      <c r="Q644" s="18"/>
      <c r="R644" s="18"/>
      <c r="S644" s="18"/>
      <c r="T644" s="18"/>
      <c r="U644" s="18"/>
      <c r="V644" s="18"/>
      <c r="W644" s="32"/>
      <c r="X644" s="18"/>
      <c r="Y644" s="18"/>
      <c r="Z644" s="32"/>
      <c r="AA644" s="18"/>
      <c r="AB644" s="18"/>
      <c r="AC644" s="18"/>
      <c r="AD644" s="33"/>
      <c r="AE644" s="32"/>
    </row>
    <row r="645" spans="14:31" x14ac:dyDescent="0.25">
      <c r="N645" s="11"/>
      <c r="P645" s="51"/>
      <c r="Q645" s="18"/>
      <c r="R645" s="18"/>
      <c r="S645" s="18"/>
      <c r="T645" s="18"/>
      <c r="U645" s="18"/>
      <c r="V645" s="18"/>
      <c r="W645" s="32"/>
      <c r="X645" s="18"/>
      <c r="Y645" s="18"/>
      <c r="Z645" s="32"/>
      <c r="AA645" s="18"/>
      <c r="AB645" s="18"/>
      <c r="AC645" s="18"/>
      <c r="AD645" s="33"/>
      <c r="AE645" s="32"/>
    </row>
    <row r="646" spans="14:31" x14ac:dyDescent="0.25">
      <c r="N646" s="11"/>
      <c r="P646" s="51"/>
      <c r="Q646" s="18"/>
      <c r="R646" s="18"/>
      <c r="S646" s="18"/>
      <c r="T646" s="18"/>
      <c r="U646" s="18"/>
      <c r="V646" s="18"/>
      <c r="W646" s="32"/>
      <c r="X646" s="18"/>
      <c r="Y646" s="18"/>
      <c r="Z646" s="32"/>
      <c r="AA646" s="18"/>
      <c r="AB646" s="18"/>
      <c r="AC646" s="18"/>
      <c r="AD646" s="33"/>
      <c r="AE646" s="32"/>
    </row>
    <row r="647" spans="14:31" x14ac:dyDescent="0.25">
      <c r="N647" s="11"/>
      <c r="P647" s="51"/>
      <c r="Q647" s="18"/>
      <c r="R647" s="18"/>
      <c r="S647" s="18"/>
      <c r="T647" s="18"/>
      <c r="U647" s="18"/>
      <c r="V647" s="18"/>
      <c r="W647" s="32"/>
      <c r="X647" s="18"/>
      <c r="Y647" s="18"/>
      <c r="Z647" s="32"/>
      <c r="AA647" s="18"/>
      <c r="AB647" s="18"/>
      <c r="AC647" s="18"/>
      <c r="AD647" s="33"/>
      <c r="AE647" s="32"/>
    </row>
    <row r="648" spans="14:31" x14ac:dyDescent="0.25">
      <c r="N648" s="11"/>
      <c r="P648" s="51"/>
      <c r="Q648" s="18"/>
      <c r="R648" s="18"/>
      <c r="S648" s="18"/>
      <c r="T648" s="18"/>
      <c r="U648" s="18"/>
      <c r="V648" s="18"/>
      <c r="W648" s="32"/>
      <c r="X648" s="18"/>
      <c r="Y648" s="18"/>
      <c r="Z648" s="32"/>
      <c r="AA648" s="18"/>
      <c r="AB648" s="18"/>
      <c r="AC648" s="18"/>
      <c r="AD648" s="33"/>
      <c r="AE648" s="32"/>
    </row>
    <row r="649" spans="14:31" x14ac:dyDescent="0.25">
      <c r="N649" s="11"/>
      <c r="P649" s="51"/>
      <c r="Q649" s="18"/>
      <c r="R649" s="18"/>
      <c r="S649" s="18"/>
      <c r="T649" s="18"/>
      <c r="U649" s="18"/>
      <c r="V649" s="18"/>
      <c r="W649" s="32"/>
      <c r="X649" s="18"/>
      <c r="Y649" s="18"/>
      <c r="Z649" s="32"/>
      <c r="AA649" s="18"/>
      <c r="AB649" s="18"/>
      <c r="AC649" s="18"/>
      <c r="AD649" s="33"/>
      <c r="AE649" s="32"/>
    </row>
    <row r="650" spans="14:31" x14ac:dyDescent="0.25">
      <c r="N650" s="11"/>
      <c r="P650" s="51"/>
      <c r="Q650" s="18"/>
      <c r="R650" s="18"/>
      <c r="S650" s="18"/>
      <c r="T650" s="18"/>
      <c r="U650" s="18"/>
      <c r="V650" s="18"/>
      <c r="W650" s="32"/>
      <c r="X650" s="18"/>
      <c r="Y650" s="18"/>
      <c r="Z650" s="32"/>
      <c r="AA650" s="18"/>
      <c r="AB650" s="18"/>
      <c r="AC650" s="18"/>
      <c r="AD650" s="33"/>
      <c r="AE650" s="32"/>
    </row>
    <row r="651" spans="14:31" x14ac:dyDescent="0.25">
      <c r="N651" s="11"/>
      <c r="P651" s="51"/>
      <c r="Q651" s="18"/>
      <c r="R651" s="18"/>
      <c r="S651" s="18"/>
      <c r="T651" s="18"/>
      <c r="U651" s="18"/>
      <c r="V651" s="18"/>
      <c r="W651" s="32"/>
      <c r="X651" s="18"/>
      <c r="Y651" s="18"/>
      <c r="Z651" s="32"/>
      <c r="AA651" s="18"/>
      <c r="AB651" s="18"/>
      <c r="AC651" s="18"/>
      <c r="AD651" s="33"/>
      <c r="AE651" s="32"/>
    </row>
    <row r="652" spans="14:31" x14ac:dyDescent="0.25">
      <c r="N652" s="11"/>
      <c r="P652" s="51"/>
      <c r="Q652" s="18"/>
      <c r="R652" s="18"/>
      <c r="S652" s="18"/>
      <c r="T652" s="18"/>
      <c r="U652" s="18"/>
      <c r="V652" s="18"/>
      <c r="W652" s="32"/>
      <c r="X652" s="18"/>
      <c r="Y652" s="18"/>
      <c r="Z652" s="32"/>
      <c r="AA652" s="18"/>
      <c r="AB652" s="18"/>
      <c r="AC652" s="18"/>
      <c r="AD652" s="33"/>
      <c r="AE652" s="32"/>
    </row>
    <row r="653" spans="14:31" x14ac:dyDescent="0.25">
      <c r="N653" s="11"/>
      <c r="P653" s="51"/>
      <c r="Q653" s="18"/>
      <c r="R653" s="18"/>
      <c r="S653" s="18"/>
      <c r="T653" s="18"/>
      <c r="U653" s="18"/>
      <c r="V653" s="18"/>
      <c r="W653" s="32"/>
      <c r="X653" s="18"/>
      <c r="Y653" s="18"/>
      <c r="Z653" s="32"/>
      <c r="AA653" s="18"/>
      <c r="AB653" s="18"/>
      <c r="AC653" s="18"/>
      <c r="AD653" s="33"/>
      <c r="AE653" s="32"/>
    </row>
    <row r="654" spans="14:31" x14ac:dyDescent="0.25">
      <c r="N654" s="11"/>
      <c r="P654" s="51"/>
      <c r="Q654" s="18"/>
      <c r="R654" s="18"/>
      <c r="S654" s="18"/>
      <c r="T654" s="18"/>
      <c r="U654" s="18"/>
      <c r="V654" s="18"/>
      <c r="W654" s="32"/>
      <c r="X654" s="18"/>
      <c r="Y654" s="18"/>
      <c r="Z654" s="32"/>
      <c r="AA654" s="18"/>
      <c r="AB654" s="18"/>
      <c r="AC654" s="18"/>
      <c r="AD654" s="33"/>
      <c r="AE654" s="32"/>
    </row>
    <row r="655" spans="14:31" x14ac:dyDescent="0.25">
      <c r="N655" s="11"/>
      <c r="P655" s="51"/>
      <c r="Q655" s="18"/>
      <c r="R655" s="18"/>
      <c r="S655" s="18"/>
      <c r="T655" s="18"/>
      <c r="U655" s="18"/>
      <c r="V655" s="18"/>
      <c r="W655" s="32"/>
      <c r="X655" s="18"/>
      <c r="Y655" s="18"/>
      <c r="Z655" s="32"/>
      <c r="AA655" s="18"/>
      <c r="AB655" s="18"/>
      <c r="AC655" s="18"/>
      <c r="AD655" s="33"/>
      <c r="AE655" s="32"/>
    </row>
    <row r="656" spans="14:31" x14ac:dyDescent="0.25">
      <c r="N656" s="11"/>
      <c r="P656" s="51"/>
      <c r="Q656" s="18"/>
      <c r="R656" s="18"/>
      <c r="S656" s="18"/>
      <c r="T656" s="18"/>
      <c r="U656" s="18"/>
      <c r="V656" s="18"/>
      <c r="W656" s="32"/>
      <c r="X656" s="18"/>
      <c r="Y656" s="18"/>
      <c r="Z656" s="32"/>
      <c r="AA656" s="18"/>
      <c r="AB656" s="18"/>
      <c r="AC656" s="18"/>
      <c r="AD656" s="33"/>
      <c r="AE656" s="32"/>
    </row>
    <row r="657" spans="14:31" x14ac:dyDescent="0.25">
      <c r="N657" s="11"/>
      <c r="P657" s="51"/>
      <c r="Q657" s="18"/>
      <c r="R657" s="18"/>
      <c r="S657" s="18"/>
      <c r="T657" s="18"/>
      <c r="U657" s="18"/>
      <c r="V657" s="18"/>
      <c r="W657" s="32"/>
      <c r="X657" s="18"/>
      <c r="Y657" s="18"/>
      <c r="Z657" s="32"/>
      <c r="AA657" s="18"/>
      <c r="AB657" s="18"/>
      <c r="AC657" s="18"/>
      <c r="AD657" s="33"/>
      <c r="AE657" s="32"/>
    </row>
    <row r="658" spans="14:31" x14ac:dyDescent="0.25">
      <c r="N658" s="11"/>
      <c r="P658" s="51"/>
      <c r="Q658" s="18"/>
      <c r="R658" s="18"/>
      <c r="S658" s="18"/>
      <c r="T658" s="18"/>
      <c r="U658" s="18"/>
      <c r="V658" s="18"/>
      <c r="W658" s="32"/>
      <c r="X658" s="18"/>
      <c r="Y658" s="18"/>
      <c r="Z658" s="32"/>
      <c r="AA658" s="18"/>
      <c r="AB658" s="18"/>
      <c r="AC658" s="18"/>
      <c r="AD658" s="33"/>
      <c r="AE658" s="32"/>
    </row>
    <row r="659" spans="14:31" x14ac:dyDescent="0.25">
      <c r="N659" s="11"/>
      <c r="P659" s="51"/>
      <c r="Q659" s="18"/>
      <c r="R659" s="18"/>
      <c r="S659" s="18"/>
      <c r="T659" s="18"/>
      <c r="U659" s="18"/>
      <c r="V659" s="18"/>
      <c r="W659" s="32"/>
      <c r="X659" s="18"/>
      <c r="Y659" s="18"/>
      <c r="Z659" s="32"/>
      <c r="AA659" s="18"/>
      <c r="AB659" s="18"/>
      <c r="AC659" s="18"/>
      <c r="AD659" s="33"/>
      <c r="AE659" s="32"/>
    </row>
    <row r="660" spans="14:31" x14ac:dyDescent="0.25">
      <c r="N660" s="11"/>
      <c r="P660" s="51"/>
      <c r="Q660" s="18"/>
      <c r="R660" s="18"/>
      <c r="S660" s="18"/>
      <c r="T660" s="18"/>
      <c r="U660" s="18"/>
      <c r="V660" s="18"/>
      <c r="W660" s="32"/>
      <c r="X660" s="18"/>
      <c r="Y660" s="18"/>
      <c r="Z660" s="32"/>
      <c r="AA660" s="18"/>
      <c r="AB660" s="18"/>
      <c r="AC660" s="18"/>
      <c r="AD660" s="33"/>
      <c r="AE660" s="32"/>
    </row>
    <row r="661" spans="14:31" x14ac:dyDescent="0.25">
      <c r="N661" s="11"/>
      <c r="P661" s="51"/>
      <c r="Q661" s="18"/>
      <c r="R661" s="18"/>
      <c r="S661" s="18"/>
      <c r="T661" s="18"/>
      <c r="U661" s="18"/>
      <c r="V661" s="18"/>
      <c r="W661" s="32"/>
      <c r="X661" s="18"/>
      <c r="Y661" s="18"/>
      <c r="Z661" s="32"/>
      <c r="AA661" s="18"/>
      <c r="AB661" s="18"/>
      <c r="AC661" s="18"/>
      <c r="AD661" s="33"/>
      <c r="AE661" s="32"/>
    </row>
    <row r="662" spans="14:31" x14ac:dyDescent="0.25">
      <c r="N662" s="11"/>
      <c r="P662" s="51"/>
      <c r="Q662" s="18"/>
      <c r="R662" s="18"/>
      <c r="S662" s="18"/>
      <c r="T662" s="18"/>
      <c r="U662" s="18"/>
      <c r="V662" s="18"/>
      <c r="W662" s="32"/>
      <c r="X662" s="18"/>
      <c r="Y662" s="18"/>
      <c r="Z662" s="32"/>
      <c r="AA662" s="18"/>
      <c r="AB662" s="18"/>
      <c r="AC662" s="18"/>
      <c r="AD662" s="33"/>
      <c r="AE662" s="32"/>
    </row>
    <row r="663" spans="14:31" x14ac:dyDescent="0.25">
      <c r="N663" s="11"/>
      <c r="P663" s="51"/>
      <c r="Q663" s="18"/>
      <c r="R663" s="18"/>
      <c r="S663" s="18"/>
      <c r="T663" s="18"/>
      <c r="U663" s="18"/>
      <c r="V663" s="18"/>
      <c r="W663" s="32"/>
      <c r="X663" s="18"/>
      <c r="Y663" s="18"/>
      <c r="Z663" s="32"/>
      <c r="AA663" s="18"/>
      <c r="AB663" s="18"/>
      <c r="AC663" s="18"/>
      <c r="AD663" s="33"/>
      <c r="AE663" s="32"/>
    </row>
    <row r="664" spans="14:31" x14ac:dyDescent="0.25">
      <c r="N664" s="11"/>
      <c r="P664" s="51"/>
      <c r="Q664" s="18"/>
      <c r="R664" s="18"/>
      <c r="S664" s="18"/>
      <c r="T664" s="18"/>
      <c r="U664" s="18"/>
      <c r="V664" s="18"/>
      <c r="W664" s="32"/>
      <c r="X664" s="18"/>
      <c r="Y664" s="18"/>
      <c r="Z664" s="32"/>
      <c r="AA664" s="18"/>
      <c r="AB664" s="18"/>
      <c r="AC664" s="18"/>
      <c r="AD664" s="33"/>
      <c r="AE664" s="32"/>
    </row>
    <row r="665" spans="14:31" x14ac:dyDescent="0.25">
      <c r="N665" s="11"/>
      <c r="P665" s="51"/>
      <c r="Q665" s="18"/>
      <c r="R665" s="18"/>
      <c r="S665" s="18"/>
      <c r="T665" s="18"/>
      <c r="U665" s="18"/>
      <c r="V665" s="18"/>
      <c r="W665" s="32"/>
      <c r="X665" s="18"/>
      <c r="Y665" s="18"/>
      <c r="Z665" s="32"/>
      <c r="AA665" s="18"/>
      <c r="AB665" s="18"/>
      <c r="AC665" s="18"/>
      <c r="AD665" s="33"/>
      <c r="AE665" s="32"/>
    </row>
    <row r="666" spans="14:31" x14ac:dyDescent="0.25">
      <c r="N666" s="11"/>
      <c r="P666" s="51"/>
      <c r="Q666" s="18"/>
      <c r="R666" s="18"/>
      <c r="S666" s="18"/>
      <c r="T666" s="18"/>
      <c r="U666" s="18"/>
      <c r="V666" s="18"/>
      <c r="W666" s="32"/>
      <c r="X666" s="18"/>
      <c r="Y666" s="18"/>
      <c r="Z666" s="32"/>
      <c r="AA666" s="18"/>
      <c r="AB666" s="18"/>
      <c r="AC666" s="18"/>
      <c r="AD666" s="33"/>
      <c r="AE666" s="32"/>
    </row>
    <row r="667" spans="14:31" x14ac:dyDescent="0.25">
      <c r="N667" s="11"/>
      <c r="P667" s="51"/>
      <c r="Q667" s="18"/>
      <c r="R667" s="18"/>
      <c r="S667" s="18"/>
      <c r="T667" s="18"/>
      <c r="U667" s="18"/>
      <c r="V667" s="18"/>
      <c r="W667" s="32"/>
      <c r="X667" s="18"/>
      <c r="Y667" s="18"/>
      <c r="Z667" s="32"/>
      <c r="AA667" s="18"/>
      <c r="AB667" s="18"/>
      <c r="AC667" s="18"/>
      <c r="AD667" s="33"/>
      <c r="AE667" s="32"/>
    </row>
    <row r="668" spans="14:31" x14ac:dyDescent="0.25">
      <c r="N668" s="11"/>
      <c r="P668" s="51"/>
      <c r="Q668" s="18"/>
      <c r="R668" s="18"/>
      <c r="S668" s="18"/>
      <c r="T668" s="18"/>
      <c r="U668" s="18"/>
      <c r="V668" s="18"/>
      <c r="W668" s="32"/>
      <c r="X668" s="18"/>
      <c r="Y668" s="18"/>
      <c r="Z668" s="32"/>
      <c r="AA668" s="18"/>
      <c r="AB668" s="18"/>
      <c r="AC668" s="18"/>
      <c r="AD668" s="33"/>
      <c r="AE668" s="32"/>
    </row>
    <row r="669" spans="14:31" x14ac:dyDescent="0.25">
      <c r="N669" s="11"/>
      <c r="P669" s="51"/>
      <c r="Q669" s="18"/>
      <c r="R669" s="18"/>
      <c r="S669" s="18"/>
      <c r="T669" s="18"/>
      <c r="U669" s="18"/>
      <c r="V669" s="18"/>
      <c r="W669" s="32"/>
      <c r="X669" s="18"/>
      <c r="Y669" s="18"/>
      <c r="Z669" s="32"/>
      <c r="AA669" s="18"/>
      <c r="AB669" s="18"/>
      <c r="AC669" s="18"/>
      <c r="AD669" s="33"/>
      <c r="AE669" s="32"/>
    </row>
    <row r="670" spans="14:31" x14ac:dyDescent="0.25">
      <c r="N670" s="11"/>
      <c r="P670" s="51"/>
      <c r="Q670" s="18"/>
      <c r="R670" s="18"/>
      <c r="S670" s="18"/>
      <c r="T670" s="18"/>
      <c r="U670" s="18"/>
      <c r="V670" s="18"/>
      <c r="W670" s="32"/>
      <c r="X670" s="18"/>
      <c r="Y670" s="18"/>
      <c r="Z670" s="32"/>
      <c r="AA670" s="18"/>
      <c r="AB670" s="18"/>
      <c r="AC670" s="18"/>
      <c r="AD670" s="33"/>
      <c r="AE670" s="32"/>
    </row>
    <row r="671" spans="14:31" x14ac:dyDescent="0.25">
      <c r="N671" s="11"/>
      <c r="P671" s="51"/>
      <c r="Q671" s="18"/>
      <c r="R671" s="18"/>
      <c r="S671" s="18"/>
      <c r="T671" s="18"/>
      <c r="U671" s="18"/>
      <c r="V671" s="18"/>
      <c r="W671" s="32"/>
      <c r="X671" s="18"/>
      <c r="Y671" s="18"/>
      <c r="Z671" s="32"/>
      <c r="AA671" s="18"/>
      <c r="AB671" s="18"/>
      <c r="AC671" s="18"/>
      <c r="AD671" s="33"/>
      <c r="AE671" s="32"/>
    </row>
    <row r="672" spans="14:31" x14ac:dyDescent="0.25">
      <c r="N672" s="11"/>
      <c r="P672" s="51"/>
      <c r="Q672" s="18"/>
      <c r="R672" s="18"/>
      <c r="S672" s="18"/>
      <c r="T672" s="18"/>
      <c r="U672" s="18"/>
      <c r="V672" s="18"/>
      <c r="W672" s="32"/>
      <c r="X672" s="18"/>
      <c r="Y672" s="18"/>
      <c r="Z672" s="32"/>
      <c r="AA672" s="18"/>
      <c r="AB672" s="18"/>
      <c r="AC672" s="18"/>
      <c r="AD672" s="33"/>
      <c r="AE672" s="32"/>
    </row>
    <row r="673" spans="14:31" x14ac:dyDescent="0.25">
      <c r="N673" s="11"/>
      <c r="P673" s="51"/>
      <c r="Q673" s="18"/>
      <c r="R673" s="18"/>
      <c r="S673" s="18"/>
      <c r="T673" s="18"/>
      <c r="U673" s="18"/>
      <c r="V673" s="18"/>
      <c r="W673" s="32"/>
      <c r="X673" s="18"/>
      <c r="Y673" s="18"/>
      <c r="Z673" s="32"/>
      <c r="AA673" s="18"/>
      <c r="AB673" s="18"/>
      <c r="AC673" s="18"/>
      <c r="AD673" s="33"/>
      <c r="AE673" s="32"/>
    </row>
    <row r="674" spans="14:31" x14ac:dyDescent="0.25">
      <c r="N674" s="11"/>
      <c r="P674" s="51"/>
      <c r="Q674" s="18"/>
      <c r="R674" s="18"/>
      <c r="S674" s="18"/>
      <c r="T674" s="18"/>
      <c r="U674" s="18"/>
      <c r="V674" s="18"/>
      <c r="W674" s="32"/>
      <c r="X674" s="18"/>
      <c r="Y674" s="18"/>
      <c r="Z674" s="32"/>
      <c r="AA674" s="18"/>
      <c r="AB674" s="18"/>
      <c r="AC674" s="18"/>
      <c r="AD674" s="33"/>
      <c r="AE674" s="32"/>
    </row>
    <row r="675" spans="14:31" x14ac:dyDescent="0.25">
      <c r="N675" s="11"/>
      <c r="P675" s="51"/>
      <c r="Q675" s="18"/>
      <c r="R675" s="18"/>
      <c r="S675" s="18"/>
      <c r="T675" s="18"/>
      <c r="U675" s="18"/>
      <c r="V675" s="18"/>
      <c r="W675" s="32"/>
      <c r="X675" s="18"/>
      <c r="Y675" s="18"/>
      <c r="Z675" s="32"/>
      <c r="AA675" s="18"/>
      <c r="AB675" s="18"/>
      <c r="AC675" s="18"/>
      <c r="AD675" s="33"/>
      <c r="AE675" s="32"/>
    </row>
    <row r="676" spans="14:31" x14ac:dyDescent="0.25">
      <c r="N676" s="11"/>
      <c r="P676" s="51"/>
      <c r="Q676" s="18"/>
      <c r="R676" s="18"/>
      <c r="S676" s="18"/>
      <c r="T676" s="18"/>
      <c r="U676" s="18"/>
      <c r="V676" s="18"/>
      <c r="W676" s="32"/>
      <c r="X676" s="18"/>
      <c r="Y676" s="18"/>
      <c r="Z676" s="32"/>
      <c r="AA676" s="18"/>
      <c r="AB676" s="18"/>
      <c r="AC676" s="18"/>
      <c r="AD676" s="33"/>
      <c r="AE676" s="32"/>
    </row>
    <row r="677" spans="14:31" x14ac:dyDescent="0.25">
      <c r="N677" s="11"/>
      <c r="P677" s="51"/>
      <c r="Q677" s="18"/>
      <c r="R677" s="18"/>
      <c r="S677" s="18"/>
      <c r="T677" s="18"/>
      <c r="U677" s="18"/>
      <c r="V677" s="18"/>
      <c r="W677" s="32"/>
      <c r="X677" s="18"/>
      <c r="Y677" s="18"/>
      <c r="Z677" s="32"/>
      <c r="AA677" s="18"/>
      <c r="AB677" s="18"/>
      <c r="AC677" s="18"/>
      <c r="AD677" s="33"/>
      <c r="AE677" s="32"/>
    </row>
    <row r="678" spans="14:31" x14ac:dyDescent="0.25">
      <c r="N678" s="11"/>
      <c r="P678" s="51"/>
      <c r="Q678" s="18"/>
      <c r="R678" s="18"/>
      <c r="S678" s="18"/>
      <c r="T678" s="18"/>
      <c r="U678" s="18"/>
      <c r="V678" s="18"/>
      <c r="W678" s="32"/>
      <c r="X678" s="18"/>
      <c r="Y678" s="18"/>
      <c r="Z678" s="32"/>
      <c r="AA678" s="18"/>
      <c r="AB678" s="18"/>
      <c r="AC678" s="18"/>
      <c r="AD678" s="33"/>
      <c r="AE678" s="32"/>
    </row>
    <row r="679" spans="14:31" x14ac:dyDescent="0.25">
      <c r="N679" s="11"/>
      <c r="P679" s="51"/>
      <c r="Q679" s="18"/>
      <c r="R679" s="18"/>
      <c r="S679" s="18"/>
      <c r="T679" s="18"/>
      <c r="U679" s="18"/>
      <c r="V679" s="18"/>
      <c r="W679" s="32"/>
      <c r="X679" s="18"/>
      <c r="Y679" s="18"/>
      <c r="Z679" s="32"/>
      <c r="AA679" s="18"/>
      <c r="AB679" s="18"/>
      <c r="AC679" s="18"/>
      <c r="AD679" s="33"/>
      <c r="AE679" s="32"/>
    </row>
    <row r="680" spans="14:31" x14ac:dyDescent="0.25">
      <c r="N680" s="11"/>
      <c r="P680" s="51"/>
      <c r="Q680" s="18"/>
      <c r="R680" s="18"/>
      <c r="S680" s="18"/>
      <c r="T680" s="18"/>
      <c r="U680" s="18"/>
      <c r="V680" s="18"/>
      <c r="W680" s="32"/>
      <c r="X680" s="18"/>
      <c r="Y680" s="18"/>
      <c r="Z680" s="32"/>
      <c r="AA680" s="18"/>
      <c r="AB680" s="18"/>
      <c r="AC680" s="18"/>
      <c r="AD680" s="33"/>
      <c r="AE680" s="32"/>
    </row>
    <row r="681" spans="14:31" x14ac:dyDescent="0.25">
      <c r="N681" s="11"/>
      <c r="P681" s="51"/>
      <c r="Q681" s="18"/>
      <c r="R681" s="18"/>
      <c r="S681" s="18"/>
      <c r="T681" s="18"/>
      <c r="U681" s="18"/>
      <c r="V681" s="18"/>
      <c r="W681" s="32"/>
      <c r="X681" s="18"/>
      <c r="Y681" s="18"/>
      <c r="Z681" s="32"/>
      <c r="AA681" s="18"/>
      <c r="AB681" s="18"/>
      <c r="AC681" s="18"/>
      <c r="AD681" s="33"/>
      <c r="AE681" s="32"/>
    </row>
    <row r="682" spans="14:31" x14ac:dyDescent="0.25">
      <c r="N682" s="11"/>
      <c r="P682" s="51"/>
      <c r="Q682" s="18"/>
      <c r="R682" s="18"/>
      <c r="S682" s="18"/>
      <c r="T682" s="18"/>
      <c r="U682" s="18"/>
      <c r="V682" s="18"/>
      <c r="W682" s="32"/>
      <c r="X682" s="18"/>
      <c r="Y682" s="18"/>
      <c r="Z682" s="32"/>
      <c r="AA682" s="18"/>
      <c r="AB682" s="18"/>
      <c r="AC682" s="18"/>
      <c r="AD682" s="33"/>
      <c r="AE682" s="32"/>
    </row>
    <row r="683" spans="14:31" x14ac:dyDescent="0.25">
      <c r="N683" s="11"/>
      <c r="P683" s="51"/>
      <c r="Q683" s="18"/>
      <c r="R683" s="18"/>
      <c r="S683" s="18"/>
      <c r="T683" s="18"/>
      <c r="U683" s="18"/>
      <c r="V683" s="18"/>
      <c r="W683" s="32"/>
      <c r="X683" s="18"/>
      <c r="Y683" s="18"/>
      <c r="Z683" s="32"/>
      <c r="AA683" s="18"/>
      <c r="AB683" s="18"/>
      <c r="AC683" s="18"/>
      <c r="AD683" s="33"/>
      <c r="AE683" s="32"/>
    </row>
    <row r="684" spans="14:31" x14ac:dyDescent="0.25">
      <c r="N684" s="11"/>
      <c r="P684" s="51"/>
      <c r="Q684" s="18"/>
      <c r="R684" s="18"/>
      <c r="S684" s="18"/>
      <c r="T684" s="18"/>
      <c r="U684" s="18"/>
      <c r="V684" s="18"/>
      <c r="W684" s="32"/>
      <c r="X684" s="18"/>
      <c r="Y684" s="18"/>
      <c r="Z684" s="32"/>
      <c r="AA684" s="18"/>
      <c r="AB684" s="18"/>
      <c r="AC684" s="18"/>
      <c r="AD684" s="33"/>
      <c r="AE684" s="32"/>
    </row>
    <row r="685" spans="14:31" x14ac:dyDescent="0.25">
      <c r="N685" s="11"/>
      <c r="P685" s="51"/>
      <c r="Q685" s="18"/>
      <c r="R685" s="18"/>
      <c r="S685" s="18"/>
      <c r="T685" s="18"/>
      <c r="U685" s="18"/>
      <c r="V685" s="18"/>
      <c r="W685" s="32"/>
      <c r="X685" s="18"/>
      <c r="Y685" s="18"/>
      <c r="Z685" s="32"/>
      <c r="AA685" s="18"/>
      <c r="AB685" s="18"/>
      <c r="AC685" s="18"/>
      <c r="AD685" s="33"/>
      <c r="AE685" s="32"/>
    </row>
    <row r="686" spans="14:31" x14ac:dyDescent="0.25">
      <c r="N686" s="11"/>
      <c r="P686" s="51"/>
      <c r="Q686" s="18"/>
      <c r="R686" s="18"/>
      <c r="S686" s="18"/>
      <c r="T686" s="18"/>
      <c r="U686" s="18"/>
      <c r="V686" s="18"/>
      <c r="W686" s="32"/>
      <c r="X686" s="18"/>
      <c r="Y686" s="18"/>
      <c r="Z686" s="32"/>
      <c r="AA686" s="18"/>
      <c r="AB686" s="18"/>
      <c r="AC686" s="18"/>
      <c r="AD686" s="33"/>
      <c r="AE686" s="32"/>
    </row>
    <row r="687" spans="14:31" x14ac:dyDescent="0.25">
      <c r="N687" s="11"/>
      <c r="P687" s="51"/>
      <c r="Q687" s="18"/>
      <c r="R687" s="18"/>
      <c r="S687" s="18"/>
      <c r="T687" s="18"/>
      <c r="U687" s="18"/>
      <c r="V687" s="18"/>
      <c r="W687" s="32"/>
      <c r="X687" s="18"/>
      <c r="Y687" s="18"/>
      <c r="Z687" s="32"/>
      <c r="AA687" s="18"/>
      <c r="AB687" s="18"/>
      <c r="AC687" s="18"/>
      <c r="AD687" s="33"/>
      <c r="AE687" s="32"/>
    </row>
    <row r="688" spans="14:31" x14ac:dyDescent="0.25">
      <c r="N688" s="11"/>
      <c r="P688" s="51"/>
      <c r="Q688" s="18"/>
      <c r="R688" s="18"/>
      <c r="S688" s="18"/>
      <c r="T688" s="18"/>
      <c r="U688" s="18"/>
      <c r="V688" s="18"/>
      <c r="W688" s="32"/>
      <c r="X688" s="18"/>
      <c r="Y688" s="18"/>
      <c r="Z688" s="32"/>
      <c r="AA688" s="18"/>
      <c r="AB688" s="18"/>
      <c r="AC688" s="18"/>
      <c r="AD688" s="33"/>
      <c r="AE688" s="32"/>
    </row>
    <row r="689" spans="14:31" x14ac:dyDescent="0.25">
      <c r="N689" s="11"/>
      <c r="P689" s="51"/>
      <c r="Q689" s="18"/>
      <c r="R689" s="18"/>
      <c r="S689" s="18"/>
      <c r="T689" s="18"/>
      <c r="U689" s="18"/>
      <c r="V689" s="18"/>
      <c r="W689" s="32"/>
      <c r="X689" s="18"/>
      <c r="Y689" s="18"/>
      <c r="Z689" s="32"/>
      <c r="AA689" s="18"/>
      <c r="AB689" s="18"/>
      <c r="AC689" s="18"/>
      <c r="AD689" s="33"/>
      <c r="AE689" s="32"/>
    </row>
    <row r="690" spans="14:31" x14ac:dyDescent="0.25">
      <c r="N690" s="11"/>
      <c r="P690" s="51"/>
      <c r="Q690" s="18"/>
      <c r="R690" s="18"/>
      <c r="S690" s="18"/>
      <c r="T690" s="18"/>
      <c r="U690" s="18"/>
      <c r="V690" s="18"/>
      <c r="W690" s="32"/>
      <c r="X690" s="18"/>
      <c r="Y690" s="18"/>
      <c r="Z690" s="32"/>
      <c r="AA690" s="18"/>
      <c r="AB690" s="18"/>
      <c r="AC690" s="18"/>
      <c r="AD690" s="33"/>
      <c r="AE690" s="32"/>
    </row>
    <row r="691" spans="14:31" x14ac:dyDescent="0.25">
      <c r="N691" s="11"/>
      <c r="P691" s="51"/>
      <c r="Q691" s="18"/>
      <c r="R691" s="18"/>
      <c r="S691" s="18"/>
      <c r="T691" s="18"/>
      <c r="U691" s="18"/>
      <c r="V691" s="18"/>
      <c r="W691" s="32"/>
      <c r="X691" s="18"/>
      <c r="Y691" s="18"/>
      <c r="Z691" s="32"/>
      <c r="AA691" s="18"/>
      <c r="AB691" s="18"/>
      <c r="AC691" s="18"/>
      <c r="AD691" s="33"/>
      <c r="AE691" s="32"/>
    </row>
    <row r="692" spans="14:31" x14ac:dyDescent="0.25">
      <c r="N692" s="11"/>
      <c r="P692" s="51"/>
      <c r="Q692" s="18"/>
      <c r="R692" s="18"/>
      <c r="S692" s="18"/>
      <c r="T692" s="18"/>
      <c r="U692" s="18"/>
      <c r="V692" s="18"/>
      <c r="W692" s="32"/>
      <c r="X692" s="18"/>
      <c r="Y692" s="18"/>
      <c r="Z692" s="32"/>
      <c r="AA692" s="18"/>
      <c r="AB692" s="18"/>
      <c r="AC692" s="18"/>
      <c r="AD692" s="33"/>
      <c r="AE692" s="32"/>
    </row>
    <row r="693" spans="14:31" x14ac:dyDescent="0.25">
      <c r="N693" s="11"/>
      <c r="P693" s="51"/>
      <c r="Q693" s="18"/>
      <c r="R693" s="18"/>
      <c r="S693" s="18"/>
      <c r="T693" s="18"/>
      <c r="U693" s="18"/>
      <c r="V693" s="18"/>
      <c r="W693" s="32"/>
      <c r="X693" s="18"/>
      <c r="Y693" s="18"/>
      <c r="Z693" s="32"/>
      <c r="AA693" s="18"/>
      <c r="AB693" s="18"/>
      <c r="AC693" s="18"/>
      <c r="AD693" s="33"/>
      <c r="AE693" s="32"/>
    </row>
    <row r="694" spans="14:31" x14ac:dyDescent="0.25">
      <c r="N694" s="11"/>
      <c r="P694" s="51"/>
      <c r="Q694" s="18"/>
      <c r="R694" s="18"/>
      <c r="S694" s="18"/>
      <c r="T694" s="18"/>
      <c r="U694" s="18"/>
      <c r="V694" s="18"/>
      <c r="W694" s="32"/>
      <c r="X694" s="18"/>
      <c r="Y694" s="18"/>
      <c r="Z694" s="32"/>
      <c r="AA694" s="18"/>
      <c r="AB694" s="18"/>
      <c r="AC694" s="18"/>
      <c r="AD694" s="33"/>
      <c r="AE694" s="32"/>
    </row>
    <row r="695" spans="14:31" x14ac:dyDescent="0.25">
      <c r="N695" s="11"/>
      <c r="P695" s="51"/>
      <c r="Q695" s="18"/>
      <c r="R695" s="18"/>
      <c r="S695" s="18"/>
      <c r="T695" s="18"/>
      <c r="U695" s="18"/>
      <c r="V695" s="18"/>
      <c r="W695" s="32"/>
      <c r="X695" s="18"/>
      <c r="Y695" s="18"/>
      <c r="Z695" s="32"/>
      <c r="AA695" s="18"/>
      <c r="AB695" s="18"/>
      <c r="AC695" s="18"/>
      <c r="AD695" s="33"/>
      <c r="AE695" s="32"/>
    </row>
    <row r="696" spans="14:31" x14ac:dyDescent="0.25">
      <c r="N696" s="11"/>
      <c r="P696" s="51"/>
      <c r="Q696" s="18"/>
      <c r="R696" s="18"/>
      <c r="S696" s="18"/>
      <c r="T696" s="18"/>
      <c r="U696" s="18"/>
      <c r="V696" s="18"/>
      <c r="W696" s="32"/>
      <c r="X696" s="18"/>
      <c r="Y696" s="18"/>
      <c r="Z696" s="32"/>
      <c r="AA696" s="18"/>
      <c r="AB696" s="18"/>
      <c r="AC696" s="18"/>
      <c r="AD696" s="33"/>
      <c r="AE696" s="32"/>
    </row>
    <row r="697" spans="14:31" x14ac:dyDescent="0.25">
      <c r="N697" s="11"/>
      <c r="P697" s="51"/>
      <c r="Q697" s="18"/>
      <c r="R697" s="18"/>
      <c r="S697" s="18"/>
      <c r="T697" s="18"/>
      <c r="U697" s="18"/>
      <c r="V697" s="18"/>
      <c r="W697" s="32"/>
      <c r="X697" s="18"/>
      <c r="Y697" s="18"/>
      <c r="Z697" s="32"/>
      <c r="AA697" s="18"/>
      <c r="AB697" s="18"/>
      <c r="AC697" s="18"/>
      <c r="AD697" s="33"/>
      <c r="AE697" s="32"/>
    </row>
    <row r="698" spans="14:31" x14ac:dyDescent="0.25">
      <c r="N698" s="11"/>
      <c r="P698" s="51"/>
      <c r="Q698" s="18"/>
      <c r="R698" s="18"/>
      <c r="S698" s="18"/>
      <c r="T698" s="18"/>
      <c r="U698" s="18"/>
      <c r="V698" s="18"/>
      <c r="W698" s="32"/>
      <c r="X698" s="18"/>
      <c r="Y698" s="18"/>
      <c r="Z698" s="32"/>
      <c r="AA698" s="18"/>
      <c r="AB698" s="18"/>
      <c r="AC698" s="18"/>
      <c r="AD698" s="33"/>
      <c r="AE698" s="32"/>
    </row>
    <row r="699" spans="14:31" x14ac:dyDescent="0.25">
      <c r="N699" s="11"/>
      <c r="P699" s="51"/>
      <c r="Q699" s="18"/>
      <c r="R699" s="18"/>
      <c r="S699" s="18"/>
      <c r="T699" s="18"/>
      <c r="U699" s="18"/>
      <c r="V699" s="18"/>
      <c r="W699" s="32"/>
      <c r="X699" s="18"/>
      <c r="Y699" s="18"/>
      <c r="Z699" s="32"/>
      <c r="AA699" s="18"/>
      <c r="AB699" s="18"/>
      <c r="AC699" s="18"/>
      <c r="AD699" s="33"/>
      <c r="AE699" s="32"/>
    </row>
    <row r="700" spans="14:31" x14ac:dyDescent="0.25">
      <c r="N700" s="11"/>
      <c r="P700" s="51"/>
      <c r="Q700" s="18"/>
      <c r="R700" s="18"/>
      <c r="S700" s="18"/>
      <c r="T700" s="18"/>
      <c r="U700" s="18"/>
      <c r="V700" s="18"/>
      <c r="W700" s="32"/>
      <c r="X700" s="18"/>
      <c r="Y700" s="18"/>
      <c r="Z700" s="32"/>
      <c r="AA700" s="18"/>
      <c r="AB700" s="18"/>
      <c r="AC700" s="18"/>
      <c r="AD700" s="33"/>
      <c r="AE700" s="32"/>
    </row>
    <row r="701" spans="14:31" x14ac:dyDescent="0.25">
      <c r="N701" s="11"/>
      <c r="P701" s="51"/>
      <c r="Q701" s="18"/>
      <c r="R701" s="18"/>
      <c r="S701" s="18"/>
      <c r="T701" s="18"/>
      <c r="U701" s="18"/>
      <c r="V701" s="18"/>
      <c r="W701" s="32"/>
      <c r="X701" s="18"/>
      <c r="Y701" s="18"/>
      <c r="Z701" s="32"/>
      <c r="AA701" s="18"/>
      <c r="AB701" s="18"/>
      <c r="AC701" s="18"/>
      <c r="AD701" s="33"/>
      <c r="AE701" s="32"/>
    </row>
    <row r="702" spans="14:31" x14ac:dyDescent="0.25">
      <c r="N702" s="11"/>
      <c r="P702" s="51"/>
      <c r="Q702" s="18"/>
      <c r="R702" s="18"/>
      <c r="S702" s="18"/>
      <c r="T702" s="18"/>
      <c r="U702" s="18"/>
      <c r="V702" s="18"/>
      <c r="W702" s="32"/>
      <c r="X702" s="18"/>
      <c r="Y702" s="18"/>
      <c r="Z702" s="32"/>
      <c r="AA702" s="18"/>
      <c r="AB702" s="18"/>
      <c r="AC702" s="18"/>
      <c r="AD702" s="33"/>
      <c r="AE702" s="32"/>
    </row>
    <row r="703" spans="14:31" x14ac:dyDescent="0.25">
      <c r="N703" s="11"/>
      <c r="P703" s="51"/>
      <c r="Q703" s="18"/>
      <c r="R703" s="18"/>
      <c r="S703" s="18"/>
      <c r="T703" s="18"/>
      <c r="U703" s="18"/>
      <c r="V703" s="18"/>
      <c r="W703" s="32"/>
      <c r="X703" s="18"/>
      <c r="Y703" s="18"/>
      <c r="Z703" s="32"/>
      <c r="AA703" s="18"/>
      <c r="AB703" s="18"/>
      <c r="AC703" s="18"/>
      <c r="AD703" s="33"/>
      <c r="AE703" s="32"/>
    </row>
    <row r="704" spans="14:31" x14ac:dyDescent="0.25">
      <c r="N704" s="11"/>
      <c r="P704" s="51"/>
      <c r="Q704" s="18"/>
      <c r="R704" s="18"/>
      <c r="S704" s="18"/>
      <c r="T704" s="18"/>
      <c r="U704" s="18"/>
      <c r="V704" s="18"/>
      <c r="W704" s="32"/>
      <c r="X704" s="18"/>
      <c r="Y704" s="18"/>
      <c r="Z704" s="32"/>
      <c r="AA704" s="18"/>
      <c r="AB704" s="18"/>
      <c r="AC704" s="18"/>
      <c r="AD704" s="33"/>
      <c r="AE704" s="32"/>
    </row>
    <row r="705" spans="14:31" x14ac:dyDescent="0.25">
      <c r="N705" s="11"/>
      <c r="P705" s="51"/>
      <c r="Q705" s="18"/>
      <c r="R705" s="18"/>
      <c r="S705" s="18"/>
      <c r="T705" s="18"/>
      <c r="U705" s="18"/>
      <c r="V705" s="18"/>
      <c r="W705" s="32"/>
      <c r="X705" s="18"/>
      <c r="Y705" s="18"/>
      <c r="Z705" s="32"/>
      <c r="AA705" s="18"/>
      <c r="AB705" s="18"/>
      <c r="AC705" s="18"/>
      <c r="AD705" s="33"/>
      <c r="AE705" s="32"/>
    </row>
    <row r="706" spans="14:31" x14ac:dyDescent="0.25">
      <c r="N706" s="11"/>
      <c r="P706" s="51"/>
      <c r="Q706" s="18"/>
      <c r="R706" s="18"/>
      <c r="S706" s="18"/>
      <c r="T706" s="18"/>
      <c r="U706" s="18"/>
      <c r="V706" s="18"/>
      <c r="W706" s="32"/>
      <c r="X706" s="18"/>
      <c r="Y706" s="18"/>
      <c r="Z706" s="32"/>
      <c r="AA706" s="18"/>
      <c r="AB706" s="18"/>
      <c r="AC706" s="18"/>
      <c r="AD706" s="33"/>
      <c r="AE706" s="32"/>
    </row>
    <row r="707" spans="14:31" x14ac:dyDescent="0.25">
      <c r="N707" s="11"/>
      <c r="P707" s="51"/>
      <c r="Q707" s="18"/>
      <c r="R707" s="18"/>
      <c r="S707" s="18"/>
      <c r="T707" s="18"/>
      <c r="U707" s="18"/>
      <c r="V707" s="18"/>
      <c r="W707" s="32"/>
      <c r="X707" s="18"/>
      <c r="Y707" s="18"/>
      <c r="Z707" s="32"/>
      <c r="AA707" s="18"/>
      <c r="AB707" s="18"/>
      <c r="AC707" s="18"/>
      <c r="AD707" s="33"/>
      <c r="AE707" s="32"/>
    </row>
    <row r="708" spans="14:31" x14ac:dyDescent="0.25">
      <c r="N708" s="11"/>
      <c r="P708" s="51"/>
      <c r="Q708" s="18"/>
      <c r="R708" s="18"/>
      <c r="S708" s="18"/>
      <c r="T708" s="18"/>
      <c r="U708" s="18"/>
      <c r="V708" s="18"/>
      <c r="W708" s="32"/>
      <c r="X708" s="18"/>
      <c r="Y708" s="18"/>
      <c r="Z708" s="32"/>
      <c r="AA708" s="18"/>
      <c r="AB708" s="18"/>
      <c r="AC708" s="18"/>
      <c r="AD708" s="33"/>
      <c r="AE708" s="32"/>
    </row>
  </sheetData>
  <mergeCells count="29">
    <mergeCell ref="A1:M1"/>
    <mergeCell ref="E6:K6"/>
    <mergeCell ref="Q17:S17"/>
    <mergeCell ref="T17:V17"/>
    <mergeCell ref="W17:Y17"/>
    <mergeCell ref="P16:AE16"/>
    <mergeCell ref="Z17:AB17"/>
    <mergeCell ref="N1:X1"/>
    <mergeCell ref="P4:AE4"/>
    <mergeCell ref="AF4:AR4"/>
    <mergeCell ref="AS4:AU4"/>
    <mergeCell ref="Q5:S5"/>
    <mergeCell ref="T5:V5"/>
    <mergeCell ref="W5:Y5"/>
    <mergeCell ref="Z5:AB5"/>
    <mergeCell ref="AC5:AE5"/>
    <mergeCell ref="AG5:AI5"/>
    <mergeCell ref="AJ5:AL5"/>
    <mergeCell ref="AM5:AO5"/>
    <mergeCell ref="AP5:AR5"/>
    <mergeCell ref="AS5:AU5"/>
    <mergeCell ref="AP17:AR17"/>
    <mergeCell ref="AC17:AE17"/>
    <mergeCell ref="AS16:AU16"/>
    <mergeCell ref="AS17:AU17"/>
    <mergeCell ref="AG17:AI17"/>
    <mergeCell ref="AJ17:AL17"/>
    <mergeCell ref="AM17:AO17"/>
    <mergeCell ref="AF16:AR1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2"/>
  <sheetViews>
    <sheetView zoomScale="70" zoomScaleNormal="70" workbookViewId="0">
      <selection activeCell="B27" sqref="B27"/>
    </sheetView>
  </sheetViews>
  <sheetFormatPr defaultRowHeight="15" x14ac:dyDescent="0.25"/>
  <cols>
    <col min="1" max="1" width="26.7109375" customWidth="1"/>
    <col min="2" max="2" width="25.5703125" customWidth="1"/>
    <col min="3" max="3" width="10.140625" customWidth="1"/>
  </cols>
  <sheetData>
    <row r="1" spans="1:9" ht="27.75" x14ac:dyDescent="0.4">
      <c r="A1" s="221" t="s">
        <v>82</v>
      </c>
      <c r="B1" s="221"/>
      <c r="C1" s="221"/>
      <c r="D1" s="221"/>
      <c r="E1" s="221"/>
      <c r="F1" s="221"/>
      <c r="G1" s="221"/>
      <c r="H1" s="221"/>
      <c r="I1" s="221"/>
    </row>
    <row r="2" spans="1:9" x14ac:dyDescent="0.25">
      <c r="A2" s="12"/>
      <c r="B2" s="12" t="s">
        <v>18</v>
      </c>
      <c r="C2" s="13"/>
      <c r="D2" s="18"/>
      <c r="E2" s="12"/>
      <c r="F2" s="12"/>
      <c r="G2" s="12"/>
      <c r="H2" s="12"/>
      <c r="I2" s="12"/>
    </row>
    <row r="3" spans="1:9" x14ac:dyDescent="0.25">
      <c r="A3" s="12"/>
      <c r="B3" s="12" t="s">
        <v>19</v>
      </c>
      <c r="C3" s="14"/>
      <c r="D3" s="18"/>
      <c r="E3" s="12"/>
      <c r="F3" s="12"/>
      <c r="G3" s="12"/>
      <c r="H3" s="12"/>
      <c r="I3" s="12"/>
    </row>
    <row r="4" spans="1:9" x14ac:dyDescent="0.25">
      <c r="A4" s="12"/>
      <c r="B4" s="12" t="s">
        <v>20</v>
      </c>
      <c r="C4" s="15"/>
      <c r="D4" s="18"/>
      <c r="E4" s="12"/>
      <c r="F4" s="12"/>
      <c r="G4" s="12"/>
      <c r="H4" s="12"/>
      <c r="I4" s="12"/>
    </row>
    <row r="5" spans="1:9" x14ac:dyDescent="0.25">
      <c r="A5" s="11" t="s">
        <v>21</v>
      </c>
      <c r="B5" s="11" t="s">
        <v>22</v>
      </c>
      <c r="C5" s="11" t="s">
        <v>23</v>
      </c>
      <c r="D5" s="18"/>
      <c r="E5" s="222" t="s">
        <v>24</v>
      </c>
      <c r="F5" s="222"/>
      <c r="G5" s="222"/>
      <c r="H5" s="222"/>
      <c r="I5" s="11"/>
    </row>
    <row r="6" spans="1:9" s="4" customFormat="1" x14ac:dyDescent="0.25">
      <c r="A6" s="11"/>
      <c r="B6" s="11"/>
      <c r="C6" s="11"/>
      <c r="D6" s="18"/>
      <c r="E6" s="20"/>
      <c r="F6" s="20"/>
      <c r="G6" s="20"/>
      <c r="H6" s="20"/>
      <c r="I6" s="11"/>
    </row>
    <row r="7" spans="1:9" s="4" customFormat="1" x14ac:dyDescent="0.25">
      <c r="A7" s="11" t="s">
        <v>60</v>
      </c>
      <c r="B7" s="11"/>
      <c r="C7" s="11"/>
      <c r="D7" s="18"/>
      <c r="E7" s="20"/>
      <c r="F7" s="20"/>
      <c r="G7" s="20"/>
      <c r="H7" s="20"/>
      <c r="I7" s="11"/>
    </row>
    <row r="8" spans="1:9" s="4" customFormat="1" x14ac:dyDescent="0.25">
      <c r="A8" s="11"/>
      <c r="B8" s="11"/>
      <c r="C8" s="11"/>
      <c r="D8" s="18"/>
      <c r="E8" s="20"/>
      <c r="F8" s="20"/>
      <c r="G8" s="20"/>
      <c r="H8" s="20"/>
      <c r="I8" s="11"/>
    </row>
    <row r="9" spans="1:9" x14ac:dyDescent="0.25">
      <c r="A9" t="s">
        <v>49</v>
      </c>
      <c r="B9" s="22">
        <v>0.8</v>
      </c>
      <c r="D9" t="s">
        <v>52</v>
      </c>
    </row>
    <row r="10" spans="1:9" s="4" customFormat="1" x14ac:dyDescent="0.25">
      <c r="A10" s="4" t="s">
        <v>53</v>
      </c>
      <c r="B10" s="23">
        <f>(1-B9)/(2.2*10^6)</f>
        <v>9.0909090909090888E-8</v>
      </c>
      <c r="C10" s="4" t="s">
        <v>56</v>
      </c>
      <c r="D10" s="4" t="s">
        <v>59</v>
      </c>
    </row>
    <row r="11" spans="1:9" x14ac:dyDescent="0.25">
      <c r="A11" s="4" t="s">
        <v>50</v>
      </c>
      <c r="B11" s="22">
        <v>0.85</v>
      </c>
      <c r="D11" s="4" t="s">
        <v>52</v>
      </c>
    </row>
    <row r="12" spans="1:9" s="4" customFormat="1" x14ac:dyDescent="0.25">
      <c r="A12" s="4" t="s">
        <v>54</v>
      </c>
      <c r="B12" s="23">
        <f>(1-B11)/(2.2*10^6)</f>
        <v>6.8181818181818186E-8</v>
      </c>
      <c r="C12" s="4" t="s">
        <v>56</v>
      </c>
      <c r="D12" s="4" t="s">
        <v>58</v>
      </c>
    </row>
    <row r="13" spans="1:9" x14ac:dyDescent="0.25">
      <c r="A13" s="4" t="s">
        <v>51</v>
      </c>
      <c r="B13" s="22">
        <v>0.9</v>
      </c>
      <c r="D13" s="4" t="s">
        <v>52</v>
      </c>
    </row>
    <row r="14" spans="1:9" x14ac:dyDescent="0.25">
      <c r="A14" t="s">
        <v>55</v>
      </c>
      <c r="B14" s="23">
        <f>(1-B13)/(2.2*10^6)</f>
        <v>4.5454545454545444E-8</v>
      </c>
      <c r="C14" t="s">
        <v>56</v>
      </c>
      <c r="D14" t="s">
        <v>57</v>
      </c>
    </row>
    <row r="16" spans="1:9" x14ac:dyDescent="0.25">
      <c r="A16" t="s">
        <v>61</v>
      </c>
      <c r="B16" s="22">
        <v>0.9</v>
      </c>
      <c r="D16" s="4" t="s">
        <v>67</v>
      </c>
    </row>
    <row r="17" spans="1:4" x14ac:dyDescent="0.25">
      <c r="A17" t="s">
        <v>62</v>
      </c>
      <c r="B17" s="22">
        <v>0.93</v>
      </c>
      <c r="D17" t="s">
        <v>64</v>
      </c>
    </row>
    <row r="18" spans="1:4" x14ac:dyDescent="0.25">
      <c r="A18" t="s">
        <v>63</v>
      </c>
      <c r="B18" s="22">
        <v>0.96</v>
      </c>
      <c r="D18" s="4" t="s">
        <v>68</v>
      </c>
    </row>
    <row r="19" spans="1:4" x14ac:dyDescent="0.25">
      <c r="B19" s="4">
        <f>IF(((1-D_limit_nom)/Constants!B12)&lt;Fsw,2,1)</f>
        <v>1</v>
      </c>
      <c r="D19" s="4" t="s">
        <v>74</v>
      </c>
    </row>
    <row r="20" spans="1:4" x14ac:dyDescent="0.25">
      <c r="A20" t="s">
        <v>80</v>
      </c>
      <c r="B20" s="1">
        <f>CHOOSE(B19,D_limit_nom,(1-Constants!B12*Fsw))</f>
        <v>0.93</v>
      </c>
      <c r="D20" s="4" t="s">
        <v>81</v>
      </c>
    </row>
    <row r="22" spans="1:4" x14ac:dyDescent="0.25">
      <c r="A22" t="s">
        <v>90</v>
      </c>
      <c r="B22" s="22">
        <f>50*10^-9</f>
        <v>5.0000000000000004E-8</v>
      </c>
      <c r="C22" t="s">
        <v>56</v>
      </c>
      <c r="D22" t="s">
        <v>91</v>
      </c>
    </row>
    <row r="23" spans="1:4" s="32" customFormat="1" x14ac:dyDescent="0.25">
      <c r="B23" s="22"/>
    </row>
    <row r="24" spans="1:4" ht="15.75" x14ac:dyDescent="0.25">
      <c r="A24" s="44" t="s">
        <v>174</v>
      </c>
    </row>
    <row r="25" spans="1:4" x14ac:dyDescent="0.25">
      <c r="A25" t="s">
        <v>147</v>
      </c>
      <c r="B25" s="22">
        <f>30*10^-6</f>
        <v>2.9999999999999997E-5</v>
      </c>
      <c r="C25" t="s">
        <v>13</v>
      </c>
      <c r="D25" t="s">
        <v>148</v>
      </c>
    </row>
    <row r="26" spans="1:4" x14ac:dyDescent="0.25">
      <c r="A26" t="s">
        <v>149</v>
      </c>
      <c r="B26" s="22">
        <v>1333</v>
      </c>
      <c r="C26" s="2" t="s">
        <v>38</v>
      </c>
      <c r="D26" t="s">
        <v>150</v>
      </c>
    </row>
    <row r="27" spans="1:4" x14ac:dyDescent="0.25">
      <c r="A27" t="s">
        <v>153</v>
      </c>
      <c r="B27" s="22">
        <f>0.1</f>
        <v>0.1</v>
      </c>
      <c r="C27" s="2" t="s">
        <v>12</v>
      </c>
      <c r="D27" t="s">
        <v>154</v>
      </c>
    </row>
    <row r="29" spans="1:4" x14ac:dyDescent="0.25">
      <c r="A29" t="s">
        <v>242</v>
      </c>
      <c r="B29" s="22">
        <f>0.145</f>
        <v>0.14499999999999999</v>
      </c>
      <c r="C29" t="s">
        <v>183</v>
      </c>
      <c r="D29" t="s">
        <v>244</v>
      </c>
    </row>
    <row r="30" spans="1:4" x14ac:dyDescent="0.25">
      <c r="A30" t="s">
        <v>246</v>
      </c>
      <c r="B30" s="22">
        <v>1</v>
      </c>
      <c r="C30" t="s">
        <v>183</v>
      </c>
      <c r="D30" t="s">
        <v>247</v>
      </c>
    </row>
    <row r="32" spans="1:4" s="32" customFormat="1" x14ac:dyDescent="0.25">
      <c r="A32" s="49" t="s">
        <v>267</v>
      </c>
    </row>
    <row r="33" spans="1:4" s="32" customFormat="1" x14ac:dyDescent="0.25">
      <c r="A33" s="32" t="s">
        <v>289</v>
      </c>
      <c r="B33" s="32">
        <v>1</v>
      </c>
      <c r="C33" s="32" t="s">
        <v>12</v>
      </c>
      <c r="D33" s="32" t="s">
        <v>290</v>
      </c>
    </row>
    <row r="34" spans="1:4" x14ac:dyDescent="0.25">
      <c r="A34" t="s">
        <v>271</v>
      </c>
      <c r="B34">
        <f>(2*10^-3)/1</f>
        <v>2E-3</v>
      </c>
      <c r="C34" t="s">
        <v>273</v>
      </c>
      <c r="D34" t="s">
        <v>272</v>
      </c>
    </row>
    <row r="36" spans="1:4" x14ac:dyDescent="0.25">
      <c r="A36" s="49" t="s">
        <v>342</v>
      </c>
    </row>
    <row r="37" spans="1:4" x14ac:dyDescent="0.25">
      <c r="A37" t="s">
        <v>343</v>
      </c>
      <c r="B37">
        <f>10*10^-6</f>
        <v>9.9999999999999991E-6</v>
      </c>
      <c r="C37" t="s">
        <v>13</v>
      </c>
      <c r="D37" t="s">
        <v>344</v>
      </c>
    </row>
    <row r="39" spans="1:4" x14ac:dyDescent="0.25">
      <c r="A39" s="49" t="s">
        <v>364</v>
      </c>
    </row>
    <row r="40" spans="1:4" x14ac:dyDescent="0.25">
      <c r="A40" t="s">
        <v>365</v>
      </c>
      <c r="B40">
        <v>1.5</v>
      </c>
      <c r="C40" t="s">
        <v>12</v>
      </c>
      <c r="D40" t="s">
        <v>368</v>
      </c>
    </row>
    <row r="41" spans="1:4" x14ac:dyDescent="0.25">
      <c r="A41" t="s">
        <v>366</v>
      </c>
      <c r="B41">
        <v>1.45</v>
      </c>
      <c r="C41" t="s">
        <v>12</v>
      </c>
      <c r="D41" t="s">
        <v>367</v>
      </c>
    </row>
    <row r="42" spans="1:4" x14ac:dyDescent="0.25">
      <c r="A42" t="s">
        <v>371</v>
      </c>
      <c r="B42">
        <f>5*10^-6</f>
        <v>4.9999999999999996E-6</v>
      </c>
      <c r="C42" t="s">
        <v>13</v>
      </c>
      <c r="D42" t="s">
        <v>372</v>
      </c>
    </row>
    <row r="44" spans="1:4" x14ac:dyDescent="0.25">
      <c r="A44" s="49" t="s">
        <v>429</v>
      </c>
    </row>
    <row r="45" spans="1:4" x14ac:dyDescent="0.25">
      <c r="A45" t="s">
        <v>430</v>
      </c>
      <c r="B45">
        <v>6.75</v>
      </c>
      <c r="C45" t="s">
        <v>12</v>
      </c>
      <c r="D45" t="s">
        <v>431</v>
      </c>
    </row>
    <row r="47" spans="1:4" x14ac:dyDescent="0.25">
      <c r="A47" s="49" t="s">
        <v>448</v>
      </c>
    </row>
    <row r="48" spans="1:4" x14ac:dyDescent="0.25">
      <c r="A48" t="s">
        <v>449</v>
      </c>
      <c r="B48">
        <f>450*(10^-6)</f>
        <v>4.4999999999999999E-4</v>
      </c>
      <c r="C48" t="s">
        <v>13</v>
      </c>
      <c r="D48" t="s">
        <v>450</v>
      </c>
    </row>
    <row r="50" spans="1:4" x14ac:dyDescent="0.25">
      <c r="A50" t="s">
        <v>491</v>
      </c>
    </row>
    <row r="51" spans="1:4" x14ac:dyDescent="0.25">
      <c r="A51" t="s">
        <v>492</v>
      </c>
      <c r="B51">
        <v>1.5</v>
      </c>
      <c r="C51" t="s">
        <v>12</v>
      </c>
      <c r="D51" t="s">
        <v>493</v>
      </c>
    </row>
    <row r="52" spans="1:4" x14ac:dyDescent="0.25">
      <c r="A52" s="32" t="s">
        <v>495</v>
      </c>
      <c r="B52">
        <v>45</v>
      </c>
      <c r="D52" t="s">
        <v>494</v>
      </c>
    </row>
  </sheetData>
  <mergeCells count="2">
    <mergeCell ref="A1:I1"/>
    <mergeCell ref="E5:H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3"/>
  <sheetViews>
    <sheetView topLeftCell="B1" zoomScale="70" zoomScaleNormal="70" workbookViewId="0">
      <selection activeCell="E3" sqref="E3"/>
    </sheetView>
  </sheetViews>
  <sheetFormatPr defaultRowHeight="15" x14ac:dyDescent="0.25"/>
  <cols>
    <col min="3" max="3" width="144.7109375" customWidth="1"/>
  </cols>
  <sheetData>
    <row r="2" spans="2:2" x14ac:dyDescent="0.25">
      <c r="B2" t="str">
        <f>"Eff_vs_IOUT"</f>
        <v>Eff_vs_IOUT</v>
      </c>
    </row>
    <row r="3" spans="2:2" ht="379.9"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
  <sheetViews>
    <sheetView workbookViewId="0">
      <selection activeCell="A2" sqref="A2"/>
    </sheetView>
  </sheetViews>
  <sheetFormatPr defaultRowHeight="15" x14ac:dyDescent="0.25"/>
  <cols>
    <col min="2" max="2" width="72.42578125" customWidth="1"/>
  </cols>
  <sheetData>
    <row r="2" ht="267.60000000000002"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D5"/>
  <sheetViews>
    <sheetView workbookViewId="0">
      <selection activeCell="B3" sqref="B3"/>
    </sheetView>
  </sheetViews>
  <sheetFormatPr defaultRowHeight="15" x14ac:dyDescent="0.25"/>
  <sheetData>
    <row r="2" spans="1:4" x14ac:dyDescent="0.25">
      <c r="A2" t="s">
        <v>467</v>
      </c>
    </row>
    <row r="3" spans="1:4" x14ac:dyDescent="0.25">
      <c r="B3">
        <f>VIN_min</f>
        <v>20</v>
      </c>
    </row>
    <row r="4" spans="1:4" x14ac:dyDescent="0.25">
      <c r="B4">
        <f>VIN_nom</f>
        <v>22</v>
      </c>
      <c r="D4">
        <v>2.5</v>
      </c>
    </row>
    <row r="5" spans="1:4" x14ac:dyDescent="0.25">
      <c r="B5">
        <f>VIN_max</f>
        <v>25</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C31" sqref="C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120</vt:i4>
      </vt:variant>
    </vt:vector>
  </HeadingPairs>
  <TitlesOfParts>
    <vt:vector size="129"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Dc_max_IC</vt:lpstr>
      <vt:lpstr>Dc_max_ideal</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Kyle Clocker</cp:lastModifiedBy>
  <cp:lastPrinted>2018-08-09T07:13:51Z</cp:lastPrinted>
  <dcterms:created xsi:type="dcterms:W3CDTF">2018-06-26T09:13:29Z</dcterms:created>
  <dcterms:modified xsi:type="dcterms:W3CDTF">2020-09-08T18:17:41Z</dcterms:modified>
</cp:coreProperties>
</file>